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13_ncr:1_{F7C22E98-E894-4FF5-8C75-0CE728081614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LISTA DE PREÇOS ABR de 2019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'LISTA DE PREÇOS ABR de 2019'!$A$9:$AG$24</definedName>
    <definedName name="concorrentes">'[1]Base Concorrentes'!$D$5:$D$77</definedName>
    <definedName name="meusmedicamentos">'[1]Base GSK'!$D$5:$D$147</definedName>
    <definedName name="produtos" localSheetId="0">#REF!</definedName>
    <definedName name="produtos">#REF!</definedName>
    <definedName name="Theraskin">'[2]Base de preços Rede'!$D$4:$D$36</definedName>
    <definedName name="UF">[3]Base!$C$4:$C$30</definedName>
    <definedName name="uniaoquimica">'[4]Base de preços Distrib'!$D$4:$D$5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4" i="1" l="1"/>
  <c r="U15" i="1"/>
  <c r="AA24" i="1"/>
  <c r="Z24" i="1"/>
  <c r="X24" i="1"/>
  <c r="AA18" i="1"/>
  <c r="Z18" i="1"/>
  <c r="W18" i="1"/>
  <c r="AA12" i="1"/>
  <c r="Z12" i="1"/>
  <c r="Y12" i="1"/>
  <c r="X12" i="1"/>
  <c r="U12" i="1"/>
  <c r="AF11" i="1"/>
  <c r="AD11" i="1"/>
  <c r="AB11" i="1"/>
  <c r="Z11" i="1"/>
  <c r="X11" i="1"/>
  <c r="V11" i="1"/>
  <c r="AF10" i="1"/>
  <c r="AD10" i="1"/>
  <c r="AB10" i="1"/>
  <c r="Z10" i="1"/>
  <c r="X10" i="1"/>
  <c r="V10" i="1"/>
  <c r="T11" i="1"/>
  <c r="T10" i="1"/>
  <c r="AA23" i="1"/>
  <c r="AA22" i="1"/>
  <c r="AA21" i="1"/>
  <c r="AA20" i="1"/>
  <c r="AA19" i="1"/>
  <c r="AA17" i="1"/>
  <c r="AA16" i="1"/>
  <c r="AA15" i="1"/>
  <c r="AA14" i="1"/>
  <c r="AA13" i="1"/>
  <c r="Z23" i="1"/>
  <c r="Z22" i="1"/>
  <c r="Z21" i="1"/>
  <c r="Z20" i="1"/>
  <c r="Z19" i="1"/>
  <c r="Z17" i="1"/>
  <c r="Z16" i="1"/>
  <c r="Z15" i="1"/>
  <c r="Z14" i="1"/>
  <c r="Z13" i="1"/>
  <c r="AG24" i="1"/>
  <c r="AF24" i="1"/>
  <c r="AG18" i="1"/>
  <c r="AF18" i="1"/>
  <c r="AG12" i="1"/>
  <c r="AF12" i="1"/>
  <c r="AE20" i="1"/>
  <c r="AE21" i="1"/>
  <c r="AE16" i="1"/>
  <c r="AE17" i="1"/>
  <c r="AE13" i="1"/>
  <c r="AE14" i="1"/>
  <c r="AD23" i="1"/>
  <c r="AD21" i="1"/>
  <c r="AD13" i="1"/>
  <c r="AE24" i="1"/>
  <c r="AE23" i="1"/>
  <c r="AE22" i="1"/>
  <c r="AE19" i="1"/>
  <c r="AE18" i="1"/>
  <c r="AE15" i="1"/>
  <c r="AE12" i="1"/>
  <c r="AD24" i="1"/>
  <c r="AD22" i="1"/>
  <c r="AD20" i="1"/>
  <c r="AD19" i="1"/>
  <c r="AD18" i="1"/>
  <c r="AD17" i="1"/>
  <c r="AD16" i="1"/>
  <c r="AD15" i="1"/>
  <c r="AD14" i="1"/>
  <c r="AD12" i="1"/>
  <c r="AC20" i="1"/>
  <c r="AC21" i="1"/>
  <c r="AC19" i="1"/>
  <c r="AC13" i="1"/>
  <c r="AB21" i="1"/>
  <c r="AB19" i="1"/>
  <c r="AB17" i="1"/>
  <c r="AB13" i="1"/>
  <c r="W24" i="1"/>
  <c r="W23" i="1"/>
  <c r="W20" i="1"/>
  <c r="W21" i="1"/>
  <c r="W16" i="1"/>
  <c r="W17" i="1"/>
  <c r="Y24" i="1"/>
  <c r="W19" i="1"/>
  <c r="Y18" i="1"/>
  <c r="X23" i="1"/>
  <c r="X22" i="1"/>
  <c r="X21" i="1"/>
  <c r="X20" i="1"/>
  <c r="X19" i="1"/>
  <c r="X18" i="1"/>
  <c r="X16" i="1"/>
  <c r="X15" i="1"/>
  <c r="X13" i="1"/>
  <c r="X14" i="1"/>
  <c r="W15" i="1" l="1"/>
  <c r="W14" i="1"/>
  <c r="W13" i="1"/>
  <c r="V24" i="1"/>
  <c r="V23" i="1"/>
  <c r="V20" i="1"/>
  <c r="V21" i="1"/>
  <c r="V22" i="1"/>
  <c r="V19" i="1"/>
  <c r="V16" i="1"/>
  <c r="V18" i="1"/>
  <c r="V17" i="1"/>
  <c r="V15" i="1"/>
  <c r="V14" i="1"/>
  <c r="V13" i="1"/>
  <c r="W12" i="1"/>
  <c r="V12" i="1"/>
  <c r="U18" i="1"/>
  <c r="U24" i="1"/>
  <c r="U23" i="1"/>
  <c r="U20" i="1"/>
  <c r="U21" i="1"/>
  <c r="U22" i="1"/>
  <c r="U19" i="1"/>
  <c r="U17" i="1"/>
  <c r="U16" i="1"/>
  <c r="T12" i="1"/>
  <c r="T18" i="1"/>
  <c r="T24" i="1"/>
  <c r="T23" i="1"/>
  <c r="T22" i="1"/>
  <c r="T21" i="1"/>
  <c r="T20" i="1"/>
  <c r="T19" i="1"/>
  <c r="T17" i="1"/>
  <c r="T16" i="1"/>
  <c r="T15" i="1"/>
  <c r="T14" i="1"/>
  <c r="T13" i="1"/>
  <c r="AC22" i="1"/>
  <c r="AB22" i="1"/>
  <c r="AC24" i="1"/>
  <c r="AC23" i="1"/>
  <c r="AC18" i="1"/>
  <c r="AC17" i="1"/>
  <c r="AC16" i="1"/>
  <c r="AC15" i="1"/>
  <c r="AC14" i="1"/>
  <c r="AC12" i="1"/>
  <c r="AB24" i="1"/>
  <c r="AB23" i="1"/>
  <c r="AB20" i="1"/>
  <c r="AB18" i="1"/>
  <c r="AB16" i="1"/>
  <c r="AB15" i="1"/>
  <c r="AB14" i="1"/>
  <c r="AB12" i="1"/>
  <c r="X17" i="1"/>
  <c r="U13" i="1"/>
</calcChain>
</file>

<file path=xl/sharedStrings.xml><?xml version="1.0" encoding="utf-8"?>
<sst xmlns="http://schemas.openxmlformats.org/spreadsheetml/2006/main" count="281" uniqueCount="180">
  <si>
    <t>AMAPÁ / AMAZONAS / BAHIA / CE</t>
  </si>
  <si>
    <t>PARANÁ / PARAÍBA / PI</t>
  </si>
  <si>
    <t>MARANHÃO / PERNAMBUCO</t>
  </si>
  <si>
    <t>SERGIPE / TOCANTINS</t>
  </si>
  <si>
    <t>MS / MT / PA / RR / SC</t>
  </si>
  <si>
    <t>RIO GRANDE DO SUL e NORTE</t>
  </si>
  <si>
    <t>N/A</t>
  </si>
  <si>
    <t>DEMAIS</t>
  </si>
  <si>
    <t>RONDONIA</t>
  </si>
  <si>
    <t>ÁREA DE LIVRE COMERCIO</t>
  </si>
  <si>
    <t>SP e MG</t>
  </si>
  <si>
    <t>RIO DE JANEIRO</t>
  </si>
  <si>
    <t>ZONA FRANCA</t>
  </si>
  <si>
    <t>17,5% ALC</t>
  </si>
  <si>
    <t>17% ZFM</t>
  </si>
  <si>
    <t>PRODUTO</t>
  </si>
  <si>
    <t>CÓD. SAP</t>
  </si>
  <si>
    <t>APRESENTAÇÃO</t>
  </si>
  <si>
    <t>PRINCIPIO ATIVO</t>
  </si>
  <si>
    <t>AMARRAÇÃO</t>
  </si>
  <si>
    <t>Unidades Embarcadas</t>
  </si>
  <si>
    <t>DIMENSÕES (Produto) mm</t>
  </si>
  <si>
    <t>DIMENSÕES (Caixa de Embarque) mm</t>
  </si>
  <si>
    <t>PESO BRUTO</t>
  </si>
  <si>
    <t>CLASS. FISCAL</t>
  </si>
  <si>
    <t>REG. MIN. SAÚDE</t>
  </si>
  <si>
    <t>CLASSE TERAP.</t>
  </si>
  <si>
    <t>LIBERADO OU MONITORADO</t>
  </si>
  <si>
    <t>NEGATIVO / POSITIVO / NEUTRO</t>
  </si>
  <si>
    <t>CÓDIGO EAN</t>
  </si>
  <si>
    <t>IPI %</t>
  </si>
  <si>
    <t>PREÇO FÁBRICA</t>
  </si>
  <si>
    <t>PREÇO CONSUMIDOR</t>
  </si>
  <si>
    <t>LIBERADO</t>
  </si>
  <si>
    <t>NEGATIVO</t>
  </si>
  <si>
    <t>CAMOMILINA C CAP CT 20CAP OR (AR)</t>
  </si>
  <si>
    <t>Cx. com 20 cáps</t>
  </si>
  <si>
    <t>camomila + extrato de glycyrrhiza glabra (alcaçuz) + vitamina C + fosfato tricálcico + vitamina D3</t>
  </si>
  <si>
    <t>4 x 11 unid.</t>
  </si>
  <si>
    <t xml:space="preserve">56 x 26 x 95 </t>
  </si>
  <si>
    <t xml:space="preserve">290 x 230 x 105 </t>
  </si>
  <si>
    <t>18,6 g</t>
  </si>
  <si>
    <t>3004.50.90</t>
  </si>
  <si>
    <t>1.0191.0061.004-4</t>
  </si>
  <si>
    <t>A13A</t>
  </si>
  <si>
    <t>7897129300059</t>
  </si>
  <si>
    <t>4 x 10 unid.</t>
  </si>
  <si>
    <t>44 x 31 x 128</t>
  </si>
  <si>
    <t xml:space="preserve">315 x 185 x 130 </t>
  </si>
  <si>
    <t xml:space="preserve">245 x 220 x 85 </t>
  </si>
  <si>
    <t>5 x 3 unid.</t>
  </si>
  <si>
    <t>285 x 177 x 117</t>
  </si>
  <si>
    <t>D11A0</t>
  </si>
  <si>
    <t>Bisn. com 25 g</t>
  </si>
  <si>
    <t>3 x 10 unid.</t>
  </si>
  <si>
    <t>D10A0</t>
  </si>
  <si>
    <t>Fr. com 120 ml.</t>
  </si>
  <si>
    <t>245 x 220 x 85</t>
  </si>
  <si>
    <t>VERRUX SOL TOP CT 10ML OR</t>
  </si>
  <si>
    <t>Fr. com 10 ml.</t>
  </si>
  <si>
    <t>cólodio lacto-salicilado 20% (solução)</t>
  </si>
  <si>
    <t>8 x 5 unid.</t>
  </si>
  <si>
    <t xml:space="preserve">40 x 30 x 80 </t>
  </si>
  <si>
    <t>39,7 g</t>
  </si>
  <si>
    <t>3004.90.29</t>
  </si>
  <si>
    <t>1.0191.0124/002-1</t>
  </si>
  <si>
    <t>7897129300134</t>
  </si>
  <si>
    <t>ALOXIDIL SOL CAPI CT 50ML OR</t>
  </si>
  <si>
    <t xml:space="preserve">Fr. com 50 ml. </t>
  </si>
  <si>
    <t>Minoxidil</t>
  </si>
  <si>
    <t>3 x 5 unid</t>
  </si>
  <si>
    <t>55 x 55 x 110</t>
  </si>
  <si>
    <t>87,8g</t>
  </si>
  <si>
    <t>3004.90.69</t>
  </si>
  <si>
    <t>1.0191.0304.001-1</t>
  </si>
  <si>
    <t>MONITORADO</t>
  </si>
  <si>
    <t>7897129303654</t>
  </si>
  <si>
    <t>HIXIZINE COM CT 30COM OR</t>
  </si>
  <si>
    <t>Cx. com 30 compr</t>
  </si>
  <si>
    <t>cloridrato de hidroxizina</t>
  </si>
  <si>
    <t>4 x 13 unid.</t>
  </si>
  <si>
    <t xml:space="preserve">56 x 22 x 95 </t>
  </si>
  <si>
    <t>13,8 g</t>
  </si>
  <si>
    <t>3004.90.67</t>
  </si>
  <si>
    <t>1.0191.0256/004-4 </t>
  </si>
  <si>
    <t>R06A0</t>
  </si>
  <si>
    <t>7897129301513</t>
  </si>
  <si>
    <t>HIXIZINE XPE CT 120ML OR</t>
  </si>
  <si>
    <t>6 x 4 unid.</t>
  </si>
  <si>
    <t>66 x 66 x 120</t>
  </si>
  <si>
    <t xml:space="preserve">400 x 265 x 125 </t>
  </si>
  <si>
    <t>185,0 g</t>
  </si>
  <si>
    <t>1.0191.0256/002-8 </t>
  </si>
  <si>
    <t>7897129301506</t>
  </si>
  <si>
    <t>MICOLAMINA CREM CT 20G OR</t>
  </si>
  <si>
    <t>Bisn. com 20 g</t>
  </si>
  <si>
    <t>ciclopirox olamina</t>
  </si>
  <si>
    <t>29,9 g</t>
  </si>
  <si>
    <t>3004.90.99</t>
  </si>
  <si>
    <t>1.0191.0268/001-5 </t>
  </si>
  <si>
    <t>D01A1</t>
  </si>
  <si>
    <t>7897129301186</t>
  </si>
  <si>
    <t>MICOLAMINA ESM CT 6G OR</t>
  </si>
  <si>
    <t>Fr. com 6 g</t>
  </si>
  <si>
    <t xml:space="preserve">81 x 41 x 75 </t>
  </si>
  <si>
    <t>43,1 g</t>
  </si>
  <si>
    <t>1.0191.0268/004-1 </t>
  </si>
  <si>
    <t>7897129300240</t>
  </si>
  <si>
    <t>MICOLAMINA LOC CT 30ML OR</t>
  </si>
  <si>
    <t>Fr. com 30 ml.</t>
  </si>
  <si>
    <t>9 x 6 unid.</t>
  </si>
  <si>
    <t>44 x 40 x 112</t>
  </si>
  <si>
    <t>55,4 g</t>
  </si>
  <si>
    <t>1.0191.0268 </t>
  </si>
  <si>
    <t>7897129301209</t>
  </si>
  <si>
    <t>THERAPSOR SOL CAPI CT 25ML OR</t>
  </si>
  <si>
    <t>Fr. com 25 ml.</t>
  </si>
  <si>
    <t>propionato de clobetasol</t>
  </si>
  <si>
    <t>5 x 7 unid.</t>
  </si>
  <si>
    <t>44 x 40 x 102</t>
  </si>
  <si>
    <t>71,9 g</t>
  </si>
  <si>
    <t>1.0191.0238/006-2 </t>
  </si>
  <si>
    <t>D07A0</t>
  </si>
  <si>
    <t>POSITIVO</t>
  </si>
  <si>
    <t>7897129300769</t>
  </si>
  <si>
    <t>VITACID ACNE GEL CT 25G OR</t>
  </si>
  <si>
    <t>fosfato de clindamicina + tretinoína</t>
  </si>
  <si>
    <t xml:space="preserve">44 x 31 x 128  </t>
  </si>
  <si>
    <t xml:space="preserve">325 x 145 x 130 </t>
  </si>
  <si>
    <t>44,6 g</t>
  </si>
  <si>
    <t>3004.50.60</t>
  </si>
  <si>
    <t>1.0191.0303.001-4</t>
  </si>
  <si>
    <t>7897129303937</t>
  </si>
  <si>
    <t>VITACID CREM CT 25G OR</t>
  </si>
  <si>
    <t>tretinoína</t>
  </si>
  <si>
    <t>41,6 g</t>
  </si>
  <si>
    <t>1.0191.0267/003-6 </t>
  </si>
  <si>
    <t>7897129300509</t>
  </si>
  <si>
    <t>VITACID GEL CT 25G OR</t>
  </si>
  <si>
    <t>1.0191.0267/002-8 </t>
  </si>
  <si>
    <t>7897129300516</t>
  </si>
  <si>
    <t>VITACID PLUS CREM CT 15G OR</t>
  </si>
  <si>
    <t>Bisn. com 15 g</t>
  </si>
  <si>
    <t>27,5 g</t>
  </si>
  <si>
    <t>1.0191.0295/001-2 </t>
  </si>
  <si>
    <t>7897129302541</t>
  </si>
  <si>
    <t>VITACID XT CREM CT 25G OR</t>
  </si>
  <si>
    <t>42,5 g</t>
  </si>
  <si>
    <t>1.0191.0267.006-0</t>
  </si>
  <si>
    <t>7897129303579</t>
  </si>
  <si>
    <t/>
  </si>
  <si>
    <t>MICOLAMINA LOC CT 50ML OR</t>
  </si>
  <si>
    <t>Fr. com 50 ml.</t>
  </si>
  <si>
    <t>1.0191.0268.010-4</t>
  </si>
  <si>
    <t>58 x 55 x 120</t>
  </si>
  <si>
    <t>368 x 232 x 140</t>
  </si>
  <si>
    <t>73,9 g</t>
  </si>
  <si>
    <t>AC / DF / ES / GO</t>
  </si>
  <si>
    <t>ALAGOAS /</t>
  </si>
  <si>
    <t>CEST</t>
  </si>
  <si>
    <t>FCI</t>
  </si>
  <si>
    <t>13.004.01</t>
  </si>
  <si>
    <t>13.003.01</t>
  </si>
  <si>
    <t>13.003.00</t>
  </si>
  <si>
    <t>13.001.01</t>
  </si>
  <si>
    <t>AFF24638-76C5-4892-90A3-E06E64AEAA99</t>
  </si>
  <si>
    <t>037C38A7-494A-4BAD-B9E9-F4907E825509</t>
  </si>
  <si>
    <t>617051F9-FFB6-49F2-8B53-F098E8B35987</t>
  </si>
  <si>
    <t>2CA8609A-F4E0-4E50-8E31-81707F3D29A1</t>
  </si>
  <si>
    <t>DABAE511-A7A2-434C-9C89-126A524F2572</t>
  </si>
  <si>
    <t>A8006BC4-55C0-4DF8-8D90-5BD1DC5AD49D</t>
  </si>
  <si>
    <t>1B745D9C-253E-4097-AB12-5183AF35609E</t>
  </si>
  <si>
    <t>3FDEC107-8C3D-4F3F-AB23-002A4C29F973</t>
  </si>
  <si>
    <t>56F5D69D-43CE-4B04-97A5-B3FA81BF7B22</t>
  </si>
  <si>
    <t>7F4E4C17-C8A7-4017-A5F1-94DF2E607C76</t>
  </si>
  <si>
    <t>6C19D2B3-1E51-4A34-BEE5-9F74E172EC12</t>
  </si>
  <si>
    <t>15F3E50D-F909-42E5-976A-A5A743D20AC8</t>
  </si>
  <si>
    <t>8799A64B-C08C-42A4-91FE-89FE8F233012</t>
  </si>
  <si>
    <t>4B075537-EF00-421D-B4CE-495B4CC5236F</t>
  </si>
  <si>
    <t>18B67792-3592-4F7A-A85E-393626FC4004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</si>
</sst>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b/>
      <i/>
      <sz val="8"/>
      <color rgb="FFFFFFFF"/>
      <name val="Arial"/>
      <family val="2"/>
    </font>
    <font>
      <b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C0504D"/>
      </patternFill>
    </fill>
    <fill>
      <patternFill patternType="solid">
        <fgColor theme="0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 applyAlignment="1"/>
    <xf numFmtId="0" fontId="4" fillId="0" borderId="0" xfId="1" applyFont="1" applyAlignment="1"/>
    <xf numFmtId="0" fontId="7" fillId="4" borderId="2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left" vertical="center"/>
    </xf>
    <xf numFmtId="0" fontId="8" fillId="6" borderId="2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left" vertical="center"/>
    </xf>
    <xf numFmtId="0" fontId="8" fillId="7" borderId="2" xfId="1" applyFont="1" applyFill="1" applyBorder="1" applyAlignment="1">
      <alignment horizontal="center" vertical="center"/>
    </xf>
    <xf numFmtId="1" fontId="8" fillId="6" borderId="2" xfId="1" applyNumberFormat="1" applyFont="1" applyFill="1" applyBorder="1" applyAlignment="1">
      <alignment horizontal="center" vertical="center"/>
    </xf>
    <xf numFmtId="9" fontId="8" fillId="6" borderId="2" xfId="2" applyFont="1" applyFill="1" applyBorder="1" applyAlignment="1">
      <alignment horizontal="center" vertical="center"/>
    </xf>
    <xf numFmtId="43" fontId="8" fillId="6" borderId="2" xfId="3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/>
    </xf>
    <xf numFmtId="43" fontId="8" fillId="8" borderId="2" xfId="3" applyFont="1" applyFill="1" applyBorder="1" applyAlignment="1">
      <alignment horizontal="center" vertical="center"/>
    </xf>
    <xf numFmtId="10" fontId="2" fillId="0" borderId="0" xfId="1" applyNumberFormat="1" applyFont="1" applyAlignment="1"/>
    <xf numFmtId="0" fontId="1" fillId="0" borderId="1" xfId="1" applyFont="1" applyBorder="1" applyAlignment="1">
      <alignment horizontal="center"/>
    </xf>
    <xf numFmtId="9" fontId="5" fillId="2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/>
    <xf numFmtId="164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Porcentagem 2" xfId="2" xr:uid="{00000000-0005-0000-0000-000002000000}"/>
    <cellStyle name="Vírgul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77933</xdr:rowOff>
    </xdr:from>
    <xdr:to>
      <xdr:col>2</xdr:col>
      <xdr:colOff>17318</xdr:colOff>
      <xdr:row>4</xdr:row>
      <xdr:rowOff>95252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6DE7B285-239C-4842-AA3C-1F6DD90043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32" y="77933"/>
          <a:ext cx="2225386" cy="58016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38965</xdr:colOff>
      <xdr:row>4</xdr:row>
      <xdr:rowOff>161057</xdr:rowOff>
    </xdr:from>
    <xdr:to>
      <xdr:col>2</xdr:col>
      <xdr:colOff>216477</xdr:colOff>
      <xdr:row>7</xdr:row>
      <xdr:rowOff>87455</xdr:rowOff>
    </xdr:to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EF5C0068-5690-4616-84DB-72AD33E4CEFC}"/>
            </a:ext>
          </a:extLst>
        </xdr:cNvPr>
        <xdr:cNvSpPr txBox="1"/>
      </xdr:nvSpPr>
      <xdr:spPr>
        <a:xfrm>
          <a:off x="116897" y="723898"/>
          <a:ext cx="2385580" cy="48923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lIns="54850" tIns="41125" rIns="0" bIns="0" anchor="t" anchorCtr="0">
          <a:noAutofit/>
        </a:bodyPr>
        <a:lstStyle/>
        <a:p>
          <a:pPr lvl="0" indent="0" algn="l" rtl="1">
            <a:spcBef>
              <a:spcPts val="0"/>
            </a:spcBef>
            <a:buSzPct val="25000"/>
            <a:buNone/>
          </a:pPr>
          <a:r>
            <a:rPr lang="en-US" sz="1000" b="1" i="0" strike="noStrike">
              <a:solidFill>
                <a:srgbClr val="969696"/>
              </a:solidFill>
              <a:latin typeface="Arial Black"/>
              <a:ea typeface="Arial Black"/>
              <a:cs typeface="Arial Black"/>
              <a:sym typeface="Arial Black"/>
            </a:rPr>
            <a:t>Lista de preços: Abril 2019</a:t>
          </a:r>
        </a:p>
        <a:p>
          <a:pPr lvl="0" indent="0" algn="l" rtl="1">
            <a:spcBef>
              <a:spcPts val="0"/>
            </a:spcBef>
            <a:buSzPct val="25000"/>
            <a:buNone/>
          </a:pPr>
          <a:r>
            <a:rPr lang="en-US" sz="1000" b="1" i="0" strike="noStrike">
              <a:solidFill>
                <a:srgbClr val="969696"/>
              </a:solidFill>
              <a:latin typeface="Arial Black"/>
              <a:ea typeface="Arial Black"/>
              <a:cs typeface="Arial Black"/>
              <a:sym typeface="Arial Black"/>
            </a:rPr>
            <a:t>Completa</a:t>
          </a: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ovanni%20Simtax\Google%20Drive\Consultoria\GSK\Proejtos%202016%20GSK\Simulador%20Medicamentos\Simulador%20GSK%20v26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oel\Google%20Drive\Consultoria\Projetos%20Consultorias%20(Compatilhado)\Theraskin\Projeto%202016\Simulador%20Theraskin%202016\Simulador%20de%20Cen&#225;rio%20Theraskin%20v10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ovanni%20Simtax\Google%20Drive\SimTaxFarma%202016\Simuladores%20de%20medicamentos\SP%20-%20OK\Simulador%20SimTax%20vers&#227;o%20SP%20industria%20-%20farmac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\Desktop\Uniao%20Quimica\Simulador%20de%20Cen&#225;rio%20UQ%20v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Unitario"/>
      <sheetName val="Concorrente"/>
      <sheetName val="Redutores"/>
      <sheetName val="Simulador GSK - Rede"/>
      <sheetName val="Base GSK"/>
      <sheetName val="Simulador GSK - Distribuidor"/>
      <sheetName val="Base ICMS"/>
      <sheetName val="Simulador GSK - Comp CE"/>
      <sheetName val="Simulador GSK - Rede DF"/>
      <sheetName val="Simulador Farmacia Popular SP"/>
      <sheetName val="Simulador Farmacia Popular SC"/>
      <sheetName val="Simulador GSK - Comp SP"/>
      <sheetName val="Simulador GSK - Comp RJ"/>
      <sheetName val="Simulador GSK - Comp MG"/>
      <sheetName val="Simulador GSK - Comp SC"/>
      <sheetName val="Simulador GSK - Comp RS"/>
      <sheetName val="Simulador GSK - Comp PR"/>
      <sheetName val="Simulador GSK - Comp DF"/>
      <sheetName val="Simulador GSK - Comp GO"/>
      <sheetName val="Simulador GSK - Comp PE"/>
      <sheetName val="Simulador GSK - Comp ES"/>
      <sheetName val="Base Concorrentes"/>
      <sheetName val="Simulador concorrente - Rede"/>
      <sheetName val="Simulador GSK - Rede PR"/>
      <sheetName val="Simulador GSK - Rede RS"/>
      <sheetName val="Simulador GSK - Rede SC"/>
      <sheetName val="Simulador GSK - Rede MG"/>
      <sheetName val="Simulador GSK - Rede RJ"/>
      <sheetName val="Simulador GSK - Rede ES"/>
      <sheetName val="Simulador GSK - Rede SP"/>
      <sheetName val="Simulador GSK - Rede CE"/>
      <sheetName val="Simulador GSK - Rede GO"/>
      <sheetName val="Simulador GSK - Rede PE"/>
      <sheetName val="Repasse concorente 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Nome Medicamento</v>
          </cell>
        </row>
        <row r="6">
          <cell r="D6" t="str">
            <v>AEROFLUX FR 120 ML</v>
          </cell>
        </row>
        <row r="7">
          <cell r="D7" t="str">
            <v>AEROLIN 2MG CX C/20 COMP</v>
          </cell>
        </row>
        <row r="8">
          <cell r="D8" t="str">
            <v>AEROLIN 4MG CX C/20 COMP</v>
          </cell>
        </row>
        <row r="9">
          <cell r="D9" t="str">
            <v>AEROLIN SOL 5MG/ML FR.10ML</v>
          </cell>
        </row>
        <row r="10">
          <cell r="D10" t="str">
            <v>AEROLIN NEBULES X 20 FLACONETE</v>
          </cell>
        </row>
        <row r="11">
          <cell r="D11" t="str">
            <v>AEROLIN SPRAY LT C/200 DS</v>
          </cell>
        </row>
        <row r="12">
          <cell r="D12" t="str">
            <v>AEROLIN XAROPE 120ML SUGARFREE</v>
          </cell>
        </row>
        <row r="13">
          <cell r="D13" t="str">
            <v>ALTARGO 5G OR</v>
          </cell>
        </row>
        <row r="14">
          <cell r="D14" t="str">
            <v>AMOXIL SUSP 125MG/150ML</v>
          </cell>
        </row>
        <row r="15">
          <cell r="D15" t="str">
            <v>AMOXIL SUSP 250MG/150ML</v>
          </cell>
        </row>
        <row r="16">
          <cell r="D16" t="str">
            <v>AMOXIL SUSP 500MG/150ML</v>
          </cell>
        </row>
        <row r="17">
          <cell r="D17" t="str">
            <v>AMOXIL CAPS 500MG C/30</v>
          </cell>
        </row>
        <row r="18">
          <cell r="D18" t="str">
            <v>AMOXIL CAPS 500MG C/15</v>
          </cell>
        </row>
        <row r="19">
          <cell r="D19" t="str">
            <v>AMOXIL CAPS 500MG C/21</v>
          </cell>
        </row>
        <row r="20">
          <cell r="D20" t="str">
            <v>AMOXIL BD SUSP 200MG/100ML</v>
          </cell>
        </row>
        <row r="21">
          <cell r="D21" t="str">
            <v>AMOXIL BD SUSP 400MG/100ML</v>
          </cell>
        </row>
        <row r="22">
          <cell r="D22" t="str">
            <v>AMOXIL BD 875MG C/20 CPD</v>
          </cell>
        </row>
        <row r="23">
          <cell r="D23" t="str">
            <v>AMOXIL BD 875MG C/14CPD</v>
          </cell>
        </row>
        <row r="24">
          <cell r="D24" t="str">
            <v>ANORO 62.5/25 MCG X 30 D</v>
          </cell>
        </row>
        <row r="25">
          <cell r="D25" t="str">
            <v>ANTAK 150MG CX C/10COMP</v>
          </cell>
        </row>
        <row r="26">
          <cell r="D26" t="str">
            <v>ANTAK 150MG CX C/20 COMP</v>
          </cell>
        </row>
        <row r="27">
          <cell r="D27" t="str">
            <v>ANTAK 300MG CX C/10COMP</v>
          </cell>
        </row>
        <row r="28">
          <cell r="D28" t="str">
            <v>ANTAK 300MG CX C/20COMP</v>
          </cell>
        </row>
        <row r="29">
          <cell r="D29" t="str">
            <v>ANTAK XAROPE FR C/120ML</v>
          </cell>
        </row>
        <row r="30">
          <cell r="D30" t="str">
            <v>AROPAX COMP 20MG C/30</v>
          </cell>
        </row>
        <row r="31">
          <cell r="D31" t="str">
            <v>AVAMYS 27.5 MCGX120D</v>
          </cell>
        </row>
        <row r="32">
          <cell r="D32" t="str">
            <v>AVODART 0.5MG 30 CAPSULAS</v>
          </cell>
        </row>
        <row r="33">
          <cell r="D33" t="str">
            <v>AVODART 0.5MG 90 CAPSULAS</v>
          </cell>
        </row>
        <row r="34">
          <cell r="D34" t="str">
            <v>BACTROBAN POMADA 10G</v>
          </cell>
        </row>
        <row r="35">
          <cell r="D35" t="str">
            <v>BACTROBAN POMADA 15G</v>
          </cell>
        </row>
        <row r="36">
          <cell r="D36" t="str">
            <v>BECLOSOL AQ NASAL 200DOSES</v>
          </cell>
        </row>
        <row r="37">
          <cell r="D37" t="str">
            <v>BETNOVATE CREME 15G</v>
          </cell>
        </row>
        <row r="38">
          <cell r="D38" t="str">
            <v>BETNOVATE CREME BG C/30G</v>
          </cell>
        </row>
        <row r="39">
          <cell r="D39" t="str">
            <v>BETNOVATE LOCAO FR C/50G</v>
          </cell>
        </row>
        <row r="40">
          <cell r="D40" t="str">
            <v>BETNOVATE POM 15 G</v>
          </cell>
        </row>
        <row r="41">
          <cell r="D41" t="str">
            <v>BETNOVATE POM BG C/30G</v>
          </cell>
        </row>
        <row r="42">
          <cell r="D42" t="str">
            <v>BETNOVATE CAPILAR FR C/50G</v>
          </cell>
        </row>
        <row r="43">
          <cell r="D43" t="str">
            <v>BETNOVATE N CREME BG 30 G</v>
          </cell>
        </row>
        <row r="44">
          <cell r="D44" t="str">
            <v>BETNOVATE N POMADA BG 30G</v>
          </cell>
        </row>
        <row r="45">
          <cell r="D45" t="str">
            <v>CLAVULIN SUSP 250MG/100ML</v>
          </cell>
        </row>
        <row r="46">
          <cell r="D46" t="str">
            <v>CLAVULIN 500MG C/21CPD</v>
          </cell>
        </row>
        <row r="47">
          <cell r="D47" t="str">
            <v>CLAVULIN 500MG C/30CPD</v>
          </cell>
        </row>
        <row r="48">
          <cell r="D48" t="str">
            <v>CLAVULIN ES 600MG/5ML FR 50ML</v>
          </cell>
        </row>
        <row r="49">
          <cell r="D49" t="str">
            <v>CLAVULIN ES 600MG/5ML 100ML</v>
          </cell>
        </row>
        <row r="50">
          <cell r="D50" t="str">
            <v>CLAVULIN BD SUSP 200MG/70ML</v>
          </cell>
        </row>
        <row r="51">
          <cell r="D51" t="str">
            <v>CLAVULIN BD SUSP 400MG/70ML</v>
          </cell>
        </row>
        <row r="52">
          <cell r="D52" t="str">
            <v>CLAVULIN BD SUSP 400MG/140ML</v>
          </cell>
        </row>
        <row r="53">
          <cell r="D53" t="str">
            <v>CLAVULIN BD 875MG C/14CPD</v>
          </cell>
        </row>
        <row r="54">
          <cell r="D54" t="str">
            <v>CLAVULIN BD 875MG C/20CPD</v>
          </cell>
        </row>
        <row r="55">
          <cell r="D55" t="str">
            <v>COMBODART 0.5MG 90 CAPSULAS</v>
          </cell>
        </row>
        <row r="56">
          <cell r="D56" t="str">
            <v>COMBODART 0.5MG 30 CAPSULAS</v>
          </cell>
        </row>
        <row r="57">
          <cell r="D57" t="str">
            <v>DANPEZIL 5MG X 30CPD</v>
          </cell>
        </row>
        <row r="58">
          <cell r="D58" t="str">
            <v>DANPEZIL 10MG X 30CPD</v>
          </cell>
        </row>
        <row r="59">
          <cell r="D59" t="str">
            <v>ESPACADOR AGACHAMBER/AEROLIN</v>
          </cell>
        </row>
        <row r="60">
          <cell r="D60" t="str">
            <v>FLIXONASE AQ N SPRAY 120D</v>
          </cell>
        </row>
        <row r="61">
          <cell r="D61" t="str">
            <v>FLIXONASE AQ N SPRAY 60D</v>
          </cell>
        </row>
        <row r="62">
          <cell r="D62" t="str">
            <v>FLIXOTIDE DISK 250MCG 60D</v>
          </cell>
        </row>
        <row r="63">
          <cell r="D63" t="str">
            <v>FLIXOTIDE DISKUS 50MCG 60D</v>
          </cell>
        </row>
        <row r="64">
          <cell r="D64" t="str">
            <v>FLIXOTIDE SPRAY 250MCG X 60D</v>
          </cell>
        </row>
        <row r="65">
          <cell r="D65" t="str">
            <v>FLIXOTIDE SPY 50MCG 120D</v>
          </cell>
        </row>
        <row r="66">
          <cell r="D66" t="str">
            <v>FLIXOTIDE NEB 0.5MG/2MLX10 FLC</v>
          </cell>
        </row>
        <row r="67">
          <cell r="D67" t="str">
            <v>FLIXOTIDE NEB 2MG/2MLX10 FLC</v>
          </cell>
        </row>
        <row r="68">
          <cell r="D68" t="str">
            <v>FLUTIVATE CR DER BG C/15G</v>
          </cell>
        </row>
        <row r="69">
          <cell r="D69" t="str">
            <v>FLUTIVATE POM DER BGC/15G</v>
          </cell>
        </row>
        <row r="70">
          <cell r="D70" t="str">
            <v>IMIGRAN 100MG X 2CPD</v>
          </cell>
        </row>
        <row r="71">
          <cell r="D71" t="str">
            <v>IMIGRAN 50MG X 2CPD</v>
          </cell>
        </row>
        <row r="72">
          <cell r="D72" t="str">
            <v>LACIPIL 4MG X 14 COMP</v>
          </cell>
        </row>
        <row r="73">
          <cell r="D73" t="str">
            <v>LAMICTAL 100MG 30 COMP</v>
          </cell>
        </row>
        <row r="74">
          <cell r="D74" t="str">
            <v>LAMICTAL 25MG 30 COMP</v>
          </cell>
        </row>
        <row r="75">
          <cell r="D75" t="str">
            <v>LAMICTAL 50MG 30 COMP</v>
          </cell>
        </row>
        <row r="76">
          <cell r="D76" t="str">
            <v>LAMICTAL DISPERSÍVEL 5MGX30CP</v>
          </cell>
        </row>
        <row r="77">
          <cell r="D77" t="str">
            <v>LAMICTAL DISPERSÍVEL 25MGX30CP</v>
          </cell>
        </row>
        <row r="78">
          <cell r="D78" t="str">
            <v>LAMICTAL DISPERSIVEL 50MGX30CP</v>
          </cell>
        </row>
        <row r="79">
          <cell r="D79" t="str">
            <v>LAMICTAL DISPERSÍVEL 100MGX30</v>
          </cell>
        </row>
        <row r="80">
          <cell r="D80" t="str">
            <v>LAMICTAL DISPERSÍVEL 200MGX30C</v>
          </cell>
        </row>
        <row r="81">
          <cell r="D81" t="str">
            <v>NARAMIG 2.5MG CX C/4COMP</v>
          </cell>
        </row>
        <row r="82">
          <cell r="D82" t="str">
            <v>NARAMIG 2.5MG X 2CPD</v>
          </cell>
        </row>
        <row r="83">
          <cell r="D83" t="str">
            <v>NASOCLEAN SPY ISO.100ML</v>
          </cell>
        </row>
        <row r="84">
          <cell r="D84" t="str">
            <v>NEUPINE 5MG X 28 CPD</v>
          </cell>
        </row>
        <row r="85">
          <cell r="D85" t="str">
            <v>NEUPINE 10MG X 28CPD</v>
          </cell>
        </row>
        <row r="86">
          <cell r="D86" t="str">
            <v>PARNATE COMP 10MG C/20</v>
          </cell>
        </row>
        <row r="87">
          <cell r="D87" t="str">
            <v>PAXIL CR 12.5MG C/30 CPD</v>
          </cell>
        </row>
        <row r="88">
          <cell r="D88" t="str">
            <v>PAXIL CR 25MG C/30 CPD</v>
          </cell>
        </row>
        <row r="89">
          <cell r="D89" t="str">
            <v>PSOREX CAPILAR FR C/50G</v>
          </cell>
        </row>
        <row r="90">
          <cell r="D90" t="str">
            <v>PSOREX CREME BG C/30 G</v>
          </cell>
        </row>
        <row r="91">
          <cell r="D91" t="str">
            <v>PSOREX POMADA BG C/30 G</v>
          </cell>
        </row>
        <row r="92">
          <cell r="D92" t="str">
            <v>QUEOPINE 25MG X 30 CPD</v>
          </cell>
        </row>
        <row r="93">
          <cell r="D93" t="str">
            <v>QUEOPINE 100MG X 30 CPD</v>
          </cell>
        </row>
        <row r="94">
          <cell r="D94" t="str">
            <v>QUEOPINE 200MG X 30 CPD</v>
          </cell>
        </row>
        <row r="95">
          <cell r="D95" t="str">
            <v>RELVAR 100/25 MCG X 30 D</v>
          </cell>
        </row>
        <row r="96">
          <cell r="D96" t="str">
            <v>RELVAR 200/25 MCG X 30 D</v>
          </cell>
        </row>
        <row r="97">
          <cell r="D97" t="str">
            <v>SERETIDE DIS50/100 MCG 60D</v>
          </cell>
        </row>
        <row r="98">
          <cell r="D98" t="str">
            <v>SERETIDE DIS50/250 MCG 60D</v>
          </cell>
        </row>
        <row r="99">
          <cell r="D99" t="str">
            <v>SERETIDE DIS50/500MCG 60D</v>
          </cell>
        </row>
        <row r="100">
          <cell r="D100" t="str">
            <v>SERETIDE 25/125MCG-DC 120D</v>
          </cell>
        </row>
        <row r="101">
          <cell r="D101" t="str">
            <v>SERETIDE 25/250MCG-DC 120D</v>
          </cell>
        </row>
        <row r="102">
          <cell r="D102" t="str">
            <v>SERETIDE 25/50MCG-DC 120D</v>
          </cell>
        </row>
        <row r="103">
          <cell r="D103" t="str">
            <v>SEREVENT DISKUS 50MCG 60D</v>
          </cell>
        </row>
        <row r="104">
          <cell r="D104" t="str">
            <v>STELAZINE COMP 2MG C/20</v>
          </cell>
        </row>
        <row r="105">
          <cell r="D105" t="str">
            <v>STELAZINE COMP 5MG C/20</v>
          </cell>
        </row>
        <row r="106">
          <cell r="D106" t="str">
            <v>TAGAMET COMP 200MG C/40</v>
          </cell>
        </row>
        <row r="107">
          <cell r="D107" t="str">
            <v>TAGAMET COMP 200MG C/10</v>
          </cell>
        </row>
        <row r="108">
          <cell r="D108" t="str">
            <v>TAGAMET COMP 400MG C/16</v>
          </cell>
        </row>
        <row r="109">
          <cell r="D109" t="str">
            <v>VALTREX 500MG X 10COMP</v>
          </cell>
        </row>
        <row r="110">
          <cell r="D110" t="str">
            <v>VALTREX 500MG CX. C/42 COMP</v>
          </cell>
        </row>
        <row r="111">
          <cell r="D111" t="str">
            <v>WELLBUTRIN SR 150MG 30COMP</v>
          </cell>
        </row>
        <row r="112">
          <cell r="D112" t="str">
            <v>WELLBUTRIN XL 150MG 30CPD</v>
          </cell>
        </row>
        <row r="113">
          <cell r="D113" t="str">
            <v>WELLBUTRIN XL 300MG 30CPD</v>
          </cell>
        </row>
        <row r="114">
          <cell r="D114" t="str">
            <v>ZENTEL COMP 200MG C/2</v>
          </cell>
        </row>
        <row r="115">
          <cell r="D115" t="str">
            <v>ZENTEL SUSP 4% 10ML</v>
          </cell>
        </row>
        <row r="116">
          <cell r="D116" t="str">
            <v>ZENTEL COMP 400MG C/01</v>
          </cell>
        </row>
        <row r="117">
          <cell r="D117" t="str">
            <v>ZENTEL COMP 400MG C/5</v>
          </cell>
        </row>
        <row r="118">
          <cell r="D118" t="str">
            <v>ZINNAT 250MG C/14 SACHES</v>
          </cell>
        </row>
        <row r="119">
          <cell r="D119" t="str">
            <v>ZINNAT 250MG C/20 SACHES</v>
          </cell>
        </row>
        <row r="120">
          <cell r="D120" t="str">
            <v>ZINNAT SUSP 250MG X 50ML</v>
          </cell>
        </row>
        <row r="121">
          <cell r="D121" t="str">
            <v>ZINNAT SUSP 250MG X 70 ML</v>
          </cell>
        </row>
        <row r="122">
          <cell r="D122" t="str">
            <v>ZINNAT 250MG 10 COMP</v>
          </cell>
        </row>
        <row r="123">
          <cell r="D123" t="str">
            <v>ZINNAT 250MG X 14 CPD</v>
          </cell>
        </row>
        <row r="124">
          <cell r="D124" t="str">
            <v>ZINNAT 500MG 14 CPD</v>
          </cell>
        </row>
        <row r="125">
          <cell r="D125" t="str">
            <v>ZINNAT 500MG 20 CPD</v>
          </cell>
        </row>
        <row r="126">
          <cell r="D126" t="str">
            <v>ZOVIRAX 200MG X 25 COMP</v>
          </cell>
        </row>
        <row r="127">
          <cell r="D127" t="str">
            <v>ZOVIRAX CREME 10 G</v>
          </cell>
        </row>
        <row r="128">
          <cell r="D128" t="str">
            <v>ZOVIRAX POMADA OFT 4.5G</v>
          </cell>
        </row>
        <row r="129">
          <cell r="D129" t="str">
            <v>ZYBAN 150MG C/30CPD</v>
          </cell>
        </row>
        <row r="130">
          <cell r="D130" t="str">
            <v>ZYRTEC 10MG 12CPD</v>
          </cell>
        </row>
        <row r="131">
          <cell r="D131" t="str">
            <v>ZYRTEC SOL ORAL 120ML</v>
          </cell>
        </row>
        <row r="132">
          <cell r="D132" t="str">
            <v>CLINAGEL 45G</v>
          </cell>
        </row>
        <row r="133">
          <cell r="D133" t="str">
            <v>CLINDOXYL 30G</v>
          </cell>
        </row>
        <row r="134">
          <cell r="D134" t="str">
            <v>CLINDOXYL 45G</v>
          </cell>
        </row>
        <row r="135">
          <cell r="D135" t="str">
            <v>VITANOL-A GEL 0,01% 30G</v>
          </cell>
        </row>
        <row r="136">
          <cell r="D136" t="str">
            <v>VITANOL-A CR 0,025% 30G</v>
          </cell>
        </row>
        <row r="137">
          <cell r="D137" t="str">
            <v>VITANOL-A GEL 0,025% 30G</v>
          </cell>
        </row>
        <row r="138">
          <cell r="D138" t="str">
            <v>VITANOL-A CR 0,05% 30G</v>
          </cell>
        </row>
        <row r="139">
          <cell r="D139" t="str">
            <v>VITANOL-A GEL 0,05% 30G</v>
          </cell>
        </row>
        <row r="140">
          <cell r="D140" t="str">
            <v>VITANOL-A CR 0,1% 30G</v>
          </cell>
        </row>
        <row r="141">
          <cell r="D141" t="str">
            <v>RIPEVIL 1MG X 20CPD</v>
          </cell>
        </row>
        <row r="142">
          <cell r="D142" t="str">
            <v>RIPEVIL 2MG X 20 CPD</v>
          </cell>
        </row>
        <row r="143">
          <cell r="D143" t="str">
            <v>RIPEVIL TAB 3MG</v>
          </cell>
        </row>
        <row r="144">
          <cell r="D144" t="str">
            <v>SERED TAB 100MG 14S</v>
          </cell>
        </row>
        <row r="145">
          <cell r="D145" t="str">
            <v>ZITROMIL 500MG X 3CPD</v>
          </cell>
        </row>
        <row r="146">
          <cell r="D146" t="str">
            <v>ZITROMIL 600MG/50ML + DILUENTE</v>
          </cell>
        </row>
        <row r="147">
          <cell r="D147" t="str">
            <v>ZITROMIL 900MG/50ML + DILUENTE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 t="str">
            <v>Nome Medicamento</v>
          </cell>
        </row>
        <row r="6">
          <cell r="D6" t="str">
            <v>ALBENDAZOL MG SUSP 40mg 10ML x 1 /ML (PZ8)</v>
          </cell>
        </row>
        <row r="7">
          <cell r="D7" t="str">
            <v>ALBEL CPR 400MG x 1 (GOB)</v>
          </cell>
        </row>
        <row r="8">
          <cell r="D8" t="str">
            <v>ALBENDAZOL MG CPR MASC 400MG x 1 (MD7)</v>
          </cell>
        </row>
        <row r="9">
          <cell r="D9" t="str">
            <v>NEO BENDAZOL SUSP 4% 10ML x 1 (N.Q)</v>
          </cell>
        </row>
        <row r="10">
          <cell r="D10" t="str">
            <v>CIMETIDINA MG CPR 200MG x 10 (N.Q)</v>
          </cell>
        </row>
        <row r="11">
          <cell r="D11" t="str">
            <v>ASMALIV SOLN INALT 0.25MG 20ML x 1 /ML (LG6)</v>
          </cell>
        </row>
        <row r="12">
          <cell r="D12" t="str">
            <v>SULF.SALB+GUAIF.MG SOLN ORAL 120ML x 1 (E3S)</v>
          </cell>
        </row>
        <row r="13">
          <cell r="D13" t="str">
            <v>CLOR NARATRIPTA MG CPR REVEST 2.50MG x 4 (E3S)</v>
          </cell>
        </row>
        <row r="14">
          <cell r="D14" t="str">
            <v>AMOXICILINA MG SUSP ORAL 125MG 150ML x 1 /5ML (EUF)</v>
          </cell>
        </row>
        <row r="15">
          <cell r="D15" t="str">
            <v>ASTRO CPR REVEST 500MG x 3 (EUF)</v>
          </cell>
        </row>
        <row r="16">
          <cell r="D16" t="str">
            <v>RANITIDIL CPR REVEST 150MG x 10 (MDQ)</v>
          </cell>
        </row>
        <row r="17">
          <cell r="D17" t="str">
            <v>CLOR.RANITIDINA MG CPR REVEST 150MG x 10 (MDQ)</v>
          </cell>
        </row>
        <row r="18">
          <cell r="D18" t="str">
            <v>NARANETY CPR REVEST 2.50MG x 4 (LG6)</v>
          </cell>
        </row>
        <row r="19">
          <cell r="D19" t="str">
            <v>NARATRIN CPR REVEST 2.50MG x 4 (E3S)</v>
          </cell>
        </row>
        <row r="20">
          <cell r="D20" t="str">
            <v>NOVOCILIN CAPS 500MG x 15 (A4H)</v>
          </cell>
        </row>
        <row r="21">
          <cell r="D21" t="str">
            <v>SUCC.SUMATRIPTA.MG CPR REVEST 50mg x 2 (ATV)</v>
          </cell>
        </row>
        <row r="22">
          <cell r="D22" t="str">
            <v>AMOXICILINA MG CAPS 500MG x 21 (TTB)</v>
          </cell>
        </row>
        <row r="23">
          <cell r="D23" t="str">
            <v>ACICLOVIR MG CREME 50mg 10G x 1 /G (MD7)</v>
          </cell>
        </row>
        <row r="24">
          <cell r="D24" t="str">
            <v>CIMETIDINA MG CPR 400MG x 16 (N.Q)</v>
          </cell>
        </row>
        <row r="25">
          <cell r="D25" t="str">
            <v>RANITIDIL CPR REVEST 150MG x 20 (MDQ)</v>
          </cell>
        </row>
        <row r="26">
          <cell r="D26" t="str">
            <v>AMOXICILINA MG PO P/SUSP 250MG 150ML x 50 /5ML (PZ8)</v>
          </cell>
        </row>
        <row r="27">
          <cell r="D27" t="str">
            <v>CLOR.RANITIDINA MG CPR REVEST 300MG x 10 (MD7)</v>
          </cell>
        </row>
        <row r="28">
          <cell r="D28" t="str">
            <v>AMOXICILINA MG CAPS 500MG x 15 (MD7)</v>
          </cell>
        </row>
        <row r="29">
          <cell r="D29" t="str">
            <v>SINOT PO P/SUSP 400MG 100ML x 1 /5ML (EUF)</v>
          </cell>
        </row>
        <row r="30">
          <cell r="D30" t="str">
            <v>CLOR.RANITIDINA MG CPR REVEST 150MG x 20 (E3S)</v>
          </cell>
        </row>
        <row r="31">
          <cell r="D31" t="str">
            <v>AZITROLAB CPR 500MG x 3 (MB9)</v>
          </cell>
        </row>
        <row r="32">
          <cell r="D32" t="str">
            <v>SUMAX CPR REVEST 50mg x 2 (LIB)</v>
          </cell>
        </row>
        <row r="33">
          <cell r="D33" t="str">
            <v>HECLIVIR CREME 0.50% 10G x 1 (N.Q)</v>
          </cell>
        </row>
        <row r="34">
          <cell r="D34" t="str">
            <v>AZITROMICINA MG CPR REVEST 500MG x 3 (PZ8)</v>
          </cell>
        </row>
        <row r="35">
          <cell r="D35" t="str">
            <v>CLOR.RANITIDINA MG XPE 75mg 120ML x 1 /5ML (E3S)</v>
          </cell>
        </row>
        <row r="36">
          <cell r="D36" t="str">
            <v>AMOXICILINA MG SUSP ORAL BD 400MG 100ML x 1 /5ML (E3S)</v>
          </cell>
        </row>
        <row r="37">
          <cell r="D37" t="str">
            <v>VELAMOX PO P/SUSP 500MG 150ML x 1 /5ML (E3S)</v>
          </cell>
        </row>
        <row r="38">
          <cell r="D38" t="str">
            <v>LAMOTRIGINA MG CPR 25mg x 30 (RBY)</v>
          </cell>
        </row>
        <row r="39">
          <cell r="D39" t="str">
            <v>AMOXICILINA MG SUSP ORAL 500MG 150ML x 1 /5ML (EUF)</v>
          </cell>
        </row>
        <row r="40">
          <cell r="D40" t="str">
            <v>LAMITOR CPR 25mg x 30 (TNT)</v>
          </cell>
        </row>
        <row r="41">
          <cell r="D41" t="str">
            <v>ASTRO PO P/SUSP 600MG 15ML x 1 (EUF)</v>
          </cell>
        </row>
        <row r="42">
          <cell r="D42" t="str">
            <v>AERODINI SPRAY 100Y x 200 /DOS (TTB)</v>
          </cell>
        </row>
        <row r="43">
          <cell r="D43" t="str">
            <v>SINOT CPR REVEST 875MG x 14 (EUF)</v>
          </cell>
        </row>
        <row r="44">
          <cell r="D44" t="str">
            <v>SUCC.SUMATRIPTA.MG CPR REVEST 100MG x 2 (ATV)</v>
          </cell>
        </row>
        <row r="45">
          <cell r="D45" t="str">
            <v>NEO MOXILIN CAPS 500MG x 21 (N.Q)</v>
          </cell>
        </row>
        <row r="46">
          <cell r="D46" t="str">
            <v>AZITROMICINA MG SUSP C/DILU. 600MG 15ML x 1 (N.Q)</v>
          </cell>
        </row>
        <row r="47">
          <cell r="D47" t="str">
            <v>CLENIL NASAL AQUOS SPRAY DOSE 50.0Y 20ML x 200 /DOS (CHS)</v>
          </cell>
        </row>
        <row r="48">
          <cell r="D48" t="str">
            <v>AMOXICILINA MG CPR REVEST 875MG x 14 (E3S)</v>
          </cell>
        </row>
        <row r="49">
          <cell r="D49" t="str">
            <v>AMOXICILINA MG CAPS 500MG x 30 (MD7)</v>
          </cell>
        </row>
        <row r="50">
          <cell r="D50" t="str">
            <v>LAMITOR CPR 50mg x 30 (TNT)</v>
          </cell>
        </row>
        <row r="51">
          <cell r="D51" t="str">
            <v>CLOR.RANITIDINA MG CPR REVEST 300MG x 20 (MD7)</v>
          </cell>
        </row>
        <row r="52">
          <cell r="D52" t="str">
            <v>AZITROMICINA MG SUSP C/DILU. 900MG 22.5ML x 1 (N.Q)</v>
          </cell>
        </row>
        <row r="53">
          <cell r="D53" t="str">
            <v>ASTRO PO P/SUSP 900MG 22.5ML x 1 (EUF)</v>
          </cell>
        </row>
        <row r="54">
          <cell r="D54" t="str">
            <v>NEO MOXILIN SUSP 250MG 150ML x 1 /5ML (N.Q)</v>
          </cell>
        </row>
        <row r="55">
          <cell r="D55" t="str">
            <v>LAMOTRIGINA MG CPR 50mg x 30 (RBY)</v>
          </cell>
        </row>
        <row r="56">
          <cell r="D56" t="str">
            <v>SINOT CLAV PO P/SUSP 400MG 70ML x 1 /57 (EUF)</v>
          </cell>
        </row>
        <row r="57">
          <cell r="D57" t="str">
            <v>SUMAX CPR REVEST 100MG x 2 (LIB)</v>
          </cell>
        </row>
        <row r="58">
          <cell r="D58" t="str">
            <v>NEOSAC CPR 300MG x 20 (N.Q)</v>
          </cell>
        </row>
        <row r="59">
          <cell r="D59" t="str">
            <v>AMOXI+CLAVU.POT.MG PO P/SUSP 400MG 70ML x 1 /57 (SDZ)</v>
          </cell>
        </row>
        <row r="60">
          <cell r="D60" t="str">
            <v>NOVOCILIN CPR BLISTER 875MG x 20 (A4H)</v>
          </cell>
        </row>
        <row r="61">
          <cell r="D61" t="str">
            <v>NORADOP CPR A.P 150MG x 30 (NQA)</v>
          </cell>
        </row>
        <row r="62">
          <cell r="D62" t="str">
            <v>CLOR.PAROXETINA MG CPR REVEST 20mg x 30 (TTB)</v>
          </cell>
        </row>
        <row r="63">
          <cell r="D63" t="str">
            <v>MORATUS CPR REVEST 20mg x 30 (MD7)</v>
          </cell>
        </row>
        <row r="64">
          <cell r="D64" t="str">
            <v>SINOT CLAV CPR REVEST 875MG x 14 /125 (EUF)</v>
          </cell>
        </row>
        <row r="65">
          <cell r="D65" t="str">
            <v>HERPESIL CPR 200MG x 25 (SDZ)</v>
          </cell>
        </row>
        <row r="66">
          <cell r="D66" t="str">
            <v>LAMITOR CPR 100MG x 30 (TNT)</v>
          </cell>
        </row>
        <row r="67">
          <cell r="D67" t="str">
            <v>LAMOTRIGINA MG CPR 100MG x 30 (RBY)</v>
          </cell>
        </row>
        <row r="68">
          <cell r="D68" t="str">
            <v>CLOR.BUPROPIONA MG CPR REV A P 150MG x 30 (E3S)</v>
          </cell>
        </row>
        <row r="69">
          <cell r="D69" t="str">
            <v>AXETIL CEFUROXI.MG PO P/SUSP 250MG 70ML x 1 /5ML (RBY)</v>
          </cell>
        </row>
        <row r="70">
          <cell r="D70" t="str">
            <v>ACICLOVIR MG CPR 200MG x 25 (N.Q)</v>
          </cell>
        </row>
        <row r="71">
          <cell r="D71" t="str">
            <v>AMOXI+CLAVU.POT.MG CPR REVEST 500MG x 21 /125 (SDZ)</v>
          </cell>
        </row>
        <row r="72">
          <cell r="D72" t="str">
            <v>BUP CPR REVES.AP 150MG x 30 (EUF)</v>
          </cell>
        </row>
        <row r="73">
          <cell r="D73" t="str">
            <v>HERVIRAX POM. OFTAL 30mg 4.5G x 1 /G (P7B)</v>
          </cell>
        </row>
        <row r="74">
          <cell r="D74" t="str">
            <v>SINOT CLAV CPR REVEST 875MG x 20 /125 (EUF)</v>
          </cell>
        </row>
        <row r="75">
          <cell r="D75" t="str">
            <v>AMOXI+CLAVU.POT.MG CPR REVEST 875MG x 14 /125 (EUF)</v>
          </cell>
        </row>
        <row r="76">
          <cell r="D76" t="str">
            <v>PONDERA CPR REVEST 20mg x 30 (EUF)</v>
          </cell>
        </row>
        <row r="77">
          <cell r="D77" t="str">
            <v>AMOXI+CLAVU.POT.MG CPR REVEST 875MG x 20 /125 (EUF)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Base Dashboard"/>
      <sheetName val="Simulador Theraskin"/>
      <sheetName val="Preço Sugerido"/>
      <sheetName val="Base de dados Theraskin Rede"/>
      <sheetName val="Base de dados Theraskin Distrib"/>
      <sheetName val="Base de preços Rede"/>
      <sheetName val="Base de preços Distrib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 t="str">
            <v>Amilia Talco Líquido Bisn. com 80 g</v>
          </cell>
        </row>
        <row r="5">
          <cell r="D5" t="str">
            <v>Cetrilan Creme Protetor Bisn. com 40 g</v>
          </cell>
        </row>
        <row r="6">
          <cell r="D6" t="str">
            <v>Cetrilan Loção Hidratante Infantil Fr. com 100 g</v>
          </cell>
        </row>
        <row r="7">
          <cell r="D7" t="str">
            <v>Cetrilan Sabonete Infantil  Sab. de 100 g.</v>
          </cell>
        </row>
        <row r="8">
          <cell r="D8" t="str">
            <v>Cetrilan Sabonete Líquido Infantil Fr. Com 120 ml.</v>
          </cell>
        </row>
        <row r="9">
          <cell r="D9" t="str">
            <v>Ducilamina Loção Fr. com 100 g</v>
          </cell>
        </row>
        <row r="10">
          <cell r="D10" t="str">
            <v>Emoderm Creme Hidratante Bisn. com 100 g</v>
          </cell>
        </row>
        <row r="11">
          <cell r="D11" t="str">
            <v>Emoderm Loção Hidratante Frasco com 200g</v>
          </cell>
        </row>
        <row r="12">
          <cell r="D12" t="str">
            <v>Kalima Sabonete Barra Hidratante 80 g Sab. de 80 g.</v>
          </cell>
        </row>
        <row r="13">
          <cell r="D13" t="str">
            <v>Kalima Sabonete Hidratante Sab. de 150 g.</v>
          </cell>
        </row>
        <row r="14">
          <cell r="D14" t="str">
            <v>Kiaritá Frasco com 30g</v>
          </cell>
        </row>
        <row r="15">
          <cell r="D15" t="str">
            <v>Klassis Creme Frasco com 30g</v>
          </cell>
        </row>
        <row r="16">
          <cell r="D16" t="str">
            <v>Klassis Emulgel Frasco com 30g</v>
          </cell>
        </row>
        <row r="17">
          <cell r="D17" t="str">
            <v>Klaviê Loção Hidratante 150 ml</v>
          </cell>
        </row>
        <row r="18">
          <cell r="D18" t="str">
            <v>Klaviê Loção Hidratante 190 ml</v>
          </cell>
        </row>
        <row r="19">
          <cell r="D19" t="str">
            <v>Klaviê Loção Hidratante 390 ml</v>
          </cell>
        </row>
        <row r="20">
          <cell r="D20" t="str">
            <v>KLAVIÊ SABONETE LÍQUIDO HIDRATANTE 150 ML</v>
          </cell>
        </row>
        <row r="21">
          <cell r="D21" t="str">
            <v>Papuless Gel Bisn. com 25 g</v>
          </cell>
        </row>
        <row r="22">
          <cell r="D22" t="str">
            <v>Retinage Plus Rosto Bisn. com 30g</v>
          </cell>
        </row>
        <row r="23">
          <cell r="D23" t="str">
            <v>Soliale Gel Creme FPS 30 Bisn. com 50 g</v>
          </cell>
        </row>
        <row r="24">
          <cell r="D24" t="str">
            <v>Soliale Gel Creme FPS 50 Bisn. com 50 g</v>
          </cell>
        </row>
        <row r="25">
          <cell r="D25" t="str">
            <v>Soliale Loção FPS 30 Bisn. com 50 g</v>
          </cell>
        </row>
        <row r="26">
          <cell r="D26" t="str">
            <v>Soliale Loção FPS 50 Bisn. com 50 g</v>
          </cell>
        </row>
        <row r="27">
          <cell r="D27" t="str">
            <v>Teloss DS Fr. com 120 ml.</v>
          </cell>
        </row>
        <row r="28">
          <cell r="D28" t="str">
            <v xml:space="preserve">Teloss Kit Loção e Shampoo Shampoo: 120ml/Loção: 120ml </v>
          </cell>
        </row>
        <row r="29">
          <cell r="D29" t="str">
            <v>Teloss Shampoo Frasco 120 ml</v>
          </cell>
        </row>
        <row r="30">
          <cell r="D30" t="str">
            <v>Theracne Hidratante  Bisn. Com 25g</v>
          </cell>
        </row>
        <row r="31">
          <cell r="D31" t="str">
            <v>Theracne Sabonete Barra Sab. de 80 g.</v>
          </cell>
        </row>
        <row r="32">
          <cell r="D32" t="str">
            <v>Theracne Sabonete Esfoliante Bisn. com 80 g</v>
          </cell>
        </row>
        <row r="33">
          <cell r="D33" t="str">
            <v>Theracne Sabonete Líquido  Fr. com 120 ml.</v>
          </cell>
        </row>
        <row r="34">
          <cell r="D34" t="str">
            <v xml:space="preserve">Vitaliss Clareador Pote plástico com 30 cáps moles </v>
          </cell>
        </row>
        <row r="35">
          <cell r="D35" t="str">
            <v xml:space="preserve">Vitaliss Facial Pote plástico com 30 cáps moles </v>
          </cell>
        </row>
        <row r="36">
          <cell r="D36" t="str">
            <v xml:space="preserve">Vitaliss Olhos Pote plástico com 30 cáps moles 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ocumentado"/>
      <sheetName val="Simulador"/>
      <sheetName val="Base de dados ABCFARMA"/>
      <sheetName val="Base"/>
    </sheetNames>
    <sheetDataSet>
      <sheetData sheetId="0"/>
      <sheetData sheetId="1"/>
      <sheetData sheetId="2"/>
      <sheetData sheetId="3">
        <row r="4">
          <cell r="C4" t="str">
            <v>SP</v>
          </cell>
        </row>
        <row r="5">
          <cell r="C5" t="str">
            <v>RJ</v>
          </cell>
        </row>
        <row r="6">
          <cell r="C6" t="str">
            <v>MG</v>
          </cell>
        </row>
        <row r="7">
          <cell r="C7" t="str">
            <v>RS</v>
          </cell>
        </row>
        <row r="8">
          <cell r="C8" t="str">
            <v>PR</v>
          </cell>
        </row>
        <row r="9">
          <cell r="C9" t="str">
            <v>BA</v>
          </cell>
        </row>
        <row r="10">
          <cell r="C10" t="str">
            <v>SC</v>
          </cell>
        </row>
        <row r="11">
          <cell r="C11" t="str">
            <v>DF</v>
          </cell>
        </row>
        <row r="12">
          <cell r="C12" t="str">
            <v>GO</v>
          </cell>
        </row>
        <row r="13">
          <cell r="C13" t="str">
            <v>PE</v>
          </cell>
        </row>
        <row r="14">
          <cell r="C14" t="str">
            <v>ES</v>
          </cell>
        </row>
        <row r="15">
          <cell r="C15" t="str">
            <v>CE</v>
          </cell>
        </row>
        <row r="16">
          <cell r="C16" t="str">
            <v>PA</v>
          </cell>
        </row>
        <row r="17">
          <cell r="C17" t="str">
            <v>AM</v>
          </cell>
        </row>
        <row r="18">
          <cell r="C18" t="str">
            <v>MT</v>
          </cell>
        </row>
        <row r="19">
          <cell r="C19" t="str">
            <v>MA</v>
          </cell>
        </row>
        <row r="20">
          <cell r="C20" t="str">
            <v>MS</v>
          </cell>
        </row>
        <row r="21">
          <cell r="C21" t="str">
            <v>RN</v>
          </cell>
        </row>
        <row r="22">
          <cell r="C22" t="str">
            <v>PB</v>
          </cell>
        </row>
        <row r="23">
          <cell r="C23" t="str">
            <v>AL</v>
          </cell>
        </row>
        <row r="24">
          <cell r="C24" t="str">
            <v>SE</v>
          </cell>
        </row>
        <row r="25">
          <cell r="C25" t="str">
            <v>RO</v>
          </cell>
        </row>
        <row r="26">
          <cell r="C26" t="str">
            <v>PI</v>
          </cell>
        </row>
        <row r="27">
          <cell r="C27" t="str">
            <v>TO</v>
          </cell>
        </row>
        <row r="28">
          <cell r="C28" t="str">
            <v>AC</v>
          </cell>
        </row>
        <row r="29">
          <cell r="C29" t="str">
            <v>AP</v>
          </cell>
        </row>
        <row r="30">
          <cell r="C30" t="str">
            <v>RR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Simulador Consolidado Hyabak"/>
      <sheetName val="Simulador Consolidado BLEPHAGEL"/>
      <sheetName val="Simulador Consolidado UQ"/>
      <sheetName val="Base de dados UQ Rede"/>
      <sheetName val="Base de dados UQ Distrib"/>
      <sheetName val="Base de preços Distrib"/>
      <sheetName val="Base de preços Rede"/>
      <sheetName val="Base Dash Blef"/>
      <sheetName val="Base Dash"/>
      <sheetName val="Base Dash Hyabak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 t="str">
            <v>HYABAK SOL OFT FR C/ 10ML</v>
          </cell>
        </row>
        <row r="5">
          <cell r="D5" t="str">
            <v>BLEPHAGEL GEL BG C 40G</v>
          </cell>
        </row>
      </sheetData>
      <sheetData sheetId="7"/>
      <sheetData sheetId="8"/>
      <sheetData sheetId="9">
        <row r="3">
          <cell r="C3" t="str">
            <v>SP</v>
          </cell>
        </row>
      </sheetData>
      <sheetData sheetId="10">
        <row r="3">
          <cell r="C3" t="str">
            <v>SP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26"/>
  <sheetViews>
    <sheetView showGridLines="0" tabSelected="1" zoomScale="110" zoomScaleNormal="110" workbookViewId="0">
      <pane xSplit="2" ySplit="9" topLeftCell="L10" activePane="bottomRight" state="frozen"/>
      <selection pane="topRight" activeCell="C1" sqref="C1"/>
      <selection pane="bottomLeft" activeCell="A9" sqref="A9"/>
      <selection pane="bottomRight" activeCell="L10" sqref="L10"/>
    </sheetView>
  </sheetViews>
  <sheetFormatPr defaultColWidth="12.5703125" defaultRowHeight="15" customHeight="1" x14ac:dyDescent="0.25"/>
  <cols>
    <col min="1" max="1" width="1.140625" style="1" customWidth="1"/>
    <col min="2" max="2" width="33.140625" style="1" bestFit="1" customWidth="1"/>
    <col min="3" max="3" width="12" style="1" customWidth="1"/>
    <col min="4" max="4" width="0.140625" style="1" customWidth="1"/>
    <col min="5" max="5" width="68" style="1" customWidth="1"/>
    <col min="6" max="6" width="16.28515625" style="1" customWidth="1"/>
    <col min="7" max="7" width="0.140625" style="1" customWidth="1"/>
    <col min="8" max="8" width="17" style="1" customWidth="1"/>
    <col min="9" max="9" width="0.140625" style="1" customWidth="1"/>
    <col min="10" max="10" width="11.85546875" style="1" customWidth="1"/>
    <col min="11" max="11" width="17.85546875" style="1" customWidth="1"/>
    <col min="12" max="12" width="46.7109375" style="1" customWidth="1"/>
    <col min="13" max="13" width="8.85546875" style="1" customWidth="1"/>
    <col min="14" max="14" width="15.42578125" style="1" customWidth="1"/>
    <col min="15" max="15" width="27.28515625" style="1" customWidth="1"/>
    <col min="16" max="17" width="15.7109375" style="1" customWidth="1"/>
    <col min="18" max="18" width="34.5703125" style="1" bestFit="1" customWidth="1"/>
    <col min="19" max="19" width="8.42578125" style="1" customWidth="1"/>
    <col min="20" max="20" width="11.28515625" style="1" customWidth="1"/>
    <col min="21" max="21" width="12.28515625" style="1" customWidth="1"/>
    <col min="22" max="22" width="11.42578125" style="1" customWidth="1"/>
    <col min="23" max="23" width="13.28515625" style="1" customWidth="1"/>
    <col min="24" max="24" width="13.85546875" style="1" customWidth="1"/>
    <col min="25" max="25" width="14.7109375" style="1" customWidth="1"/>
    <col min="26" max="28" width="13.42578125" style="1" customWidth="1"/>
    <col min="29" max="29" width="17" style="1" customWidth="1"/>
    <col min="30" max="31" width="13.42578125" style="1" customWidth="1"/>
    <col min="32" max="32" width="12.140625" style="1" customWidth="1"/>
    <col min="33" max="33" width="10.28515625" style="1" customWidth="1"/>
    <col min="34" max="16384" width="12.5703125" style="1"/>
  </cols>
  <sheetData>
    <row r="1" spans="2:33" x14ac:dyDescent="0.25">
      <c r="AB1" s="26" t="s">
        <v>0</v>
      </c>
      <c r="AC1" s="26"/>
    </row>
    <row r="2" spans="2:33" x14ac:dyDescent="0.25">
      <c r="AB2" s="26" t="s">
        <v>158</v>
      </c>
      <c r="AC2" s="26"/>
    </row>
    <row r="3" spans="2:33" ht="14.25" customHeight="1" x14ac:dyDescent="0.25">
      <c r="AB3" s="26" t="s">
        <v>1</v>
      </c>
      <c r="AC3" s="26"/>
    </row>
    <row r="4" spans="2:33" x14ac:dyDescent="0.25">
      <c r="AB4" s="26" t="s">
        <v>2</v>
      </c>
      <c r="AC4" s="26"/>
    </row>
    <row r="5" spans="2:33" x14ac:dyDescent="0.25">
      <c r="V5" s="21" t="s">
        <v>157</v>
      </c>
      <c r="W5" s="21"/>
      <c r="AB5" s="26" t="s">
        <v>3</v>
      </c>
      <c r="AC5" s="26"/>
    </row>
    <row r="6" spans="2:33" x14ac:dyDescent="0.25">
      <c r="V6" s="21" t="s">
        <v>4</v>
      </c>
      <c r="W6" s="21"/>
      <c r="AB6" s="26" t="s">
        <v>5</v>
      </c>
      <c r="AC6" s="26"/>
    </row>
    <row r="7" spans="2:33" ht="14.25" customHeight="1" x14ac:dyDescent="0.25">
      <c r="T7" s="21" t="s">
        <v>6</v>
      </c>
      <c r="U7" s="21"/>
      <c r="V7" s="21" t="s">
        <v>7</v>
      </c>
      <c r="W7" s="21"/>
      <c r="X7" s="21" t="s">
        <v>8</v>
      </c>
      <c r="Y7" s="21"/>
      <c r="Z7" s="21" t="s">
        <v>9</v>
      </c>
      <c r="AA7" s="21"/>
      <c r="AB7" s="21" t="s">
        <v>10</v>
      </c>
      <c r="AC7" s="21"/>
      <c r="AD7" s="21" t="s">
        <v>11</v>
      </c>
      <c r="AE7" s="21"/>
      <c r="AF7" s="21" t="s">
        <v>12</v>
      </c>
      <c r="AG7" s="21"/>
    </row>
    <row r="8" spans="2:33" ht="12.7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2">
        <v>0.12</v>
      </c>
      <c r="U8" s="23"/>
      <c r="V8" s="22">
        <v>0.17</v>
      </c>
      <c r="W8" s="23"/>
      <c r="X8" s="24">
        <v>0.17499999999999999</v>
      </c>
      <c r="Y8" s="23"/>
      <c r="Z8" s="24" t="s">
        <v>13</v>
      </c>
      <c r="AA8" s="23"/>
      <c r="AB8" s="22">
        <v>0.18</v>
      </c>
      <c r="AC8" s="23"/>
      <c r="AD8" s="22">
        <v>0.2</v>
      </c>
      <c r="AE8" s="23"/>
      <c r="AF8" s="25" t="s">
        <v>14</v>
      </c>
      <c r="AG8" s="23"/>
    </row>
    <row r="9" spans="2:33" ht="36.75" customHeight="1" x14ac:dyDescent="0.25"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4" t="s">
        <v>20</v>
      </c>
      <c r="H9" s="4" t="s">
        <v>21</v>
      </c>
      <c r="I9" s="4" t="s">
        <v>22</v>
      </c>
      <c r="J9" s="4" t="s">
        <v>23</v>
      </c>
      <c r="K9" s="3" t="s">
        <v>24</v>
      </c>
      <c r="L9" s="3" t="s">
        <v>25</v>
      </c>
      <c r="M9" s="4" t="s">
        <v>26</v>
      </c>
      <c r="N9" s="4" t="s">
        <v>27</v>
      </c>
      <c r="O9" s="3" t="s">
        <v>28</v>
      </c>
      <c r="P9" s="3" t="s">
        <v>29</v>
      </c>
      <c r="Q9" s="3" t="s">
        <v>159</v>
      </c>
      <c r="R9" s="3" t="s">
        <v>160</v>
      </c>
      <c r="S9" s="3" t="s">
        <v>30</v>
      </c>
      <c r="T9" s="5" t="s">
        <v>31</v>
      </c>
      <c r="U9" s="5" t="s">
        <v>32</v>
      </c>
      <c r="V9" s="5" t="s">
        <v>31</v>
      </c>
      <c r="W9" s="5" t="s">
        <v>32</v>
      </c>
      <c r="X9" s="5" t="s">
        <v>31</v>
      </c>
      <c r="Y9" s="5" t="s">
        <v>32</v>
      </c>
      <c r="Z9" s="5" t="s">
        <v>31</v>
      </c>
      <c r="AA9" s="5" t="s">
        <v>32</v>
      </c>
      <c r="AB9" s="5" t="s">
        <v>31</v>
      </c>
      <c r="AC9" s="5" t="s">
        <v>32</v>
      </c>
      <c r="AD9" s="5" t="s">
        <v>31</v>
      </c>
      <c r="AE9" s="5" t="s">
        <v>32</v>
      </c>
      <c r="AF9" s="5" t="s">
        <v>31</v>
      </c>
      <c r="AG9" s="5" t="s">
        <v>32</v>
      </c>
    </row>
    <row r="10" spans="2:33" ht="13.5" customHeight="1" x14ac:dyDescent="0.25">
      <c r="B10" s="6" t="s">
        <v>35</v>
      </c>
      <c r="C10" s="7">
        <v>111300203</v>
      </c>
      <c r="D10" s="8" t="s">
        <v>36</v>
      </c>
      <c r="E10" s="9" t="s">
        <v>37</v>
      </c>
      <c r="F10" s="8" t="s">
        <v>38</v>
      </c>
      <c r="G10" s="8">
        <v>30</v>
      </c>
      <c r="H10" s="8" t="s">
        <v>39</v>
      </c>
      <c r="I10" s="8" t="s">
        <v>40</v>
      </c>
      <c r="J10" s="8" t="s">
        <v>41</v>
      </c>
      <c r="K10" s="8" t="s">
        <v>42</v>
      </c>
      <c r="L10" s="8" t="s">
        <v>43</v>
      </c>
      <c r="M10" s="8" t="s">
        <v>44</v>
      </c>
      <c r="N10" s="10" t="s">
        <v>33</v>
      </c>
      <c r="O10" s="8" t="s">
        <v>34</v>
      </c>
      <c r="P10" s="11" t="s">
        <v>45</v>
      </c>
      <c r="Q10" s="11" t="s">
        <v>161</v>
      </c>
      <c r="R10" s="11" t="s">
        <v>165</v>
      </c>
      <c r="S10" s="12">
        <v>0</v>
      </c>
      <c r="T10" s="13">
        <f>(33.54*4.33%)+33.54</f>
        <v>34.992281999999996</v>
      </c>
      <c r="U10" s="13"/>
      <c r="V10" s="13">
        <f>(33.54*4.33%)+33.54</f>
        <v>34.992281999999996</v>
      </c>
      <c r="W10" s="13"/>
      <c r="X10" s="13">
        <f>(33.54*4.33%)+33.54</f>
        <v>34.992281999999996</v>
      </c>
      <c r="Y10" s="13"/>
      <c r="Z10" s="13">
        <f>(33.54*4.33%)+33.54</f>
        <v>34.992281999999996</v>
      </c>
      <c r="AA10" s="13" t="s">
        <v>150</v>
      </c>
      <c r="AB10" s="13">
        <f>(33.54*4.33%)+33.54</f>
        <v>34.992281999999996</v>
      </c>
      <c r="AC10" s="19"/>
      <c r="AD10" s="13">
        <f>(33.54*4.33%)+33.54</f>
        <v>34.992281999999996</v>
      </c>
      <c r="AE10" s="13"/>
      <c r="AF10" s="13">
        <f>(33.54*4.33%)+33.54</f>
        <v>34.992281999999996</v>
      </c>
      <c r="AG10" s="13"/>
    </row>
    <row r="11" spans="2:33" x14ac:dyDescent="0.25">
      <c r="B11" s="6" t="s">
        <v>58</v>
      </c>
      <c r="C11" s="7">
        <v>111300016</v>
      </c>
      <c r="D11" s="8" t="s">
        <v>59</v>
      </c>
      <c r="E11" s="9" t="s">
        <v>60</v>
      </c>
      <c r="F11" s="8" t="s">
        <v>61</v>
      </c>
      <c r="G11" s="8">
        <v>40</v>
      </c>
      <c r="H11" s="14" t="s">
        <v>62</v>
      </c>
      <c r="I11" s="8" t="s">
        <v>49</v>
      </c>
      <c r="J11" s="15" t="s">
        <v>63</v>
      </c>
      <c r="K11" s="16" t="s">
        <v>64</v>
      </c>
      <c r="L11" s="17" t="s">
        <v>65</v>
      </c>
      <c r="M11" s="8" t="s">
        <v>52</v>
      </c>
      <c r="N11" s="10" t="s">
        <v>33</v>
      </c>
      <c r="O11" s="8" t="s">
        <v>34</v>
      </c>
      <c r="P11" s="11" t="s">
        <v>66</v>
      </c>
      <c r="Q11" s="11" t="s">
        <v>161</v>
      </c>
      <c r="R11" s="11" t="s">
        <v>166</v>
      </c>
      <c r="S11" s="12">
        <v>0</v>
      </c>
      <c r="T11" s="13">
        <f>(44.5269*4.33%)+44.53</f>
        <v>46.458014769999998</v>
      </c>
      <c r="U11" s="13" t="s">
        <v>150</v>
      </c>
      <c r="V11" s="13">
        <f>(44.5269*4.33%)+44.53</f>
        <v>46.458014769999998</v>
      </c>
      <c r="W11" s="13" t="s">
        <v>150</v>
      </c>
      <c r="X11" s="13">
        <f>(44.5269*4.33%)+44.53</f>
        <v>46.458014769999998</v>
      </c>
      <c r="Y11" s="13" t="s">
        <v>150</v>
      </c>
      <c r="Z11" s="13">
        <f>(44.5269*4.33%)+44.53</f>
        <v>46.458014769999998</v>
      </c>
      <c r="AA11" s="13" t="s">
        <v>150</v>
      </c>
      <c r="AB11" s="13">
        <f>(44.5269*4.33%)+44.53</f>
        <v>46.458014769999998</v>
      </c>
      <c r="AC11" s="19" t="s">
        <v>150</v>
      </c>
      <c r="AD11" s="13">
        <f>(44.5269*4.33%)+44.53</f>
        <v>46.458014769999998</v>
      </c>
      <c r="AE11" s="13" t="s">
        <v>150</v>
      </c>
      <c r="AF11" s="13">
        <f>(44.5269*4.33%)+44.53</f>
        <v>46.458014769999998</v>
      </c>
      <c r="AG11" s="13" t="s">
        <v>150</v>
      </c>
    </row>
    <row r="12" spans="2:33" x14ac:dyDescent="0.25">
      <c r="B12" s="6" t="s">
        <v>67</v>
      </c>
      <c r="C12" s="7">
        <v>111300021</v>
      </c>
      <c r="D12" s="8" t="s">
        <v>68</v>
      </c>
      <c r="E12" s="9" t="s">
        <v>69</v>
      </c>
      <c r="F12" s="18" t="s">
        <v>70</v>
      </c>
      <c r="G12" s="18">
        <v>24</v>
      </c>
      <c r="H12" s="18" t="s">
        <v>71</v>
      </c>
      <c r="I12" s="8" t="s">
        <v>51</v>
      </c>
      <c r="J12" s="8" t="s">
        <v>72</v>
      </c>
      <c r="K12" s="8" t="s">
        <v>73</v>
      </c>
      <c r="L12" s="8" t="s">
        <v>74</v>
      </c>
      <c r="M12" s="8" t="s">
        <v>52</v>
      </c>
      <c r="N12" s="10" t="s">
        <v>75</v>
      </c>
      <c r="O12" s="8" t="s">
        <v>34</v>
      </c>
      <c r="P12" s="11" t="s">
        <v>76</v>
      </c>
      <c r="Q12" s="11" t="s">
        <v>162</v>
      </c>
      <c r="R12" s="11" t="s">
        <v>167</v>
      </c>
      <c r="S12" s="12">
        <v>0</v>
      </c>
      <c r="T12" s="13">
        <f>(92.212753*4.33%)+92.21</f>
        <v>96.202812204899999</v>
      </c>
      <c r="U12" s="13">
        <f>(123.16894*4.33%)+123.17</f>
        <v>128.50321510200001</v>
      </c>
      <c r="V12" s="13">
        <f>(98.606881*4.33%)+98.61</f>
        <v>102.8796779473</v>
      </c>
      <c r="W12" s="13">
        <f>(131.428022*4.33%)+131.43</f>
        <v>137.12083335260002</v>
      </c>
      <c r="X12" s="13">
        <f>(99.29343*4.33%)+99.29</f>
        <v>103.58940551900001</v>
      </c>
      <c r="Y12" s="13">
        <f>(132.319511*4.33%)+132.32</f>
        <v>138.0494348263</v>
      </c>
      <c r="Z12" s="13">
        <f>(86.361716*4.33%)+86.36</f>
        <v>90.099462302799992</v>
      </c>
      <c r="AA12" s="13">
        <f>(115.084057*4.33%)+115.08</f>
        <v>120.06313966809999</v>
      </c>
      <c r="AB12" s="19">
        <f>(99.990226*4.33%)+99.99</f>
        <v>104.3195767858</v>
      </c>
      <c r="AC12" s="19">
        <f>(133.211*4.33%)+133.21</f>
        <v>138.97803630000001</v>
      </c>
      <c r="AD12" s="13">
        <f>(102.87988*4.33%)+102.88</f>
        <v>107.334698804</v>
      </c>
      <c r="AE12" s="13">
        <f>(136.940908*4.33%)+136.94</f>
        <v>142.86954131639999</v>
      </c>
      <c r="AF12" s="13">
        <f>(85.839119*4.33%)+85.84</f>
        <v>89.556833852700009</v>
      </c>
      <c r="AG12" s="13">
        <f>(118.66026*4.33%)+118.66</f>
        <v>123.797989258</v>
      </c>
    </row>
    <row r="13" spans="2:33" x14ac:dyDescent="0.25">
      <c r="B13" s="6" t="s">
        <v>77</v>
      </c>
      <c r="C13" s="7">
        <v>111300006</v>
      </c>
      <c r="D13" s="8" t="s">
        <v>78</v>
      </c>
      <c r="E13" s="9" t="s">
        <v>79</v>
      </c>
      <c r="F13" s="18" t="s">
        <v>80</v>
      </c>
      <c r="G13" s="18">
        <v>30</v>
      </c>
      <c r="H13" s="18" t="s">
        <v>81</v>
      </c>
      <c r="I13" s="8" t="s">
        <v>40</v>
      </c>
      <c r="J13" s="8" t="s">
        <v>82</v>
      </c>
      <c r="K13" s="8" t="s">
        <v>83</v>
      </c>
      <c r="L13" s="8" t="s">
        <v>84</v>
      </c>
      <c r="M13" s="8" t="s">
        <v>85</v>
      </c>
      <c r="N13" s="10" t="s">
        <v>75</v>
      </c>
      <c r="O13" s="8" t="s">
        <v>34</v>
      </c>
      <c r="P13" s="11" t="s">
        <v>86</v>
      </c>
      <c r="Q13" s="11" t="s">
        <v>162</v>
      </c>
      <c r="R13" s="11" t="s">
        <v>168</v>
      </c>
      <c r="S13" s="12">
        <v>0</v>
      </c>
      <c r="T13" s="13">
        <f>(28.73*4.33%)+28.73-0.01</f>
        <v>29.964008999999997</v>
      </c>
      <c r="U13" s="13">
        <f>(38.38*4.33%)+38.38-0.02</f>
        <v>40.021853999999998</v>
      </c>
      <c r="V13" s="13">
        <f>(30.72*4.33%)+30.72-0.01</f>
        <v>32.040176000000002</v>
      </c>
      <c r="W13" s="13">
        <f>(40.95*4.33%)+40.95-0.01</f>
        <v>42.713135000000008</v>
      </c>
      <c r="X13" s="13">
        <f>(30.93*4.33%)+30.93-0.01</f>
        <v>32.259269000000003</v>
      </c>
      <c r="Y13" s="19">
        <v>42.99</v>
      </c>
      <c r="Z13" s="13">
        <f>(26.893228*4.33%)+26.89-0.02</f>
        <v>28.034476772400001</v>
      </c>
      <c r="AA13" s="13">
        <f>(35.830308*4.33%)+35.83-0.02</f>
        <v>37.361452336399992</v>
      </c>
      <c r="AB13" s="19">
        <f>(31.15*4.33%)+31.15-0.01</f>
        <v>32.488795000000003</v>
      </c>
      <c r="AC13" s="19">
        <f>(41.5*4.33%)+41.5-0.01</f>
        <v>43.286950000000004</v>
      </c>
      <c r="AD13" s="13">
        <f>(32.05*4.33%)+32.05-0.01</f>
        <v>33.427765000000001</v>
      </c>
      <c r="AE13" s="13">
        <f>(42.66*4.33%)+42.66-0.01</f>
        <v>44.497177999999998</v>
      </c>
      <c r="AF13" s="13">
        <v>27.89</v>
      </c>
      <c r="AG13" s="13">
        <v>38.56</v>
      </c>
    </row>
    <row r="14" spans="2:33" x14ac:dyDescent="0.25">
      <c r="B14" s="6" t="s">
        <v>87</v>
      </c>
      <c r="C14" s="7">
        <v>111300007</v>
      </c>
      <c r="D14" s="8" t="s">
        <v>56</v>
      </c>
      <c r="E14" s="9" t="s">
        <v>79</v>
      </c>
      <c r="F14" s="18" t="s">
        <v>88</v>
      </c>
      <c r="G14" s="18">
        <v>24</v>
      </c>
      <c r="H14" s="18" t="s">
        <v>89</v>
      </c>
      <c r="I14" s="8" t="s">
        <v>90</v>
      </c>
      <c r="J14" s="8" t="s">
        <v>91</v>
      </c>
      <c r="K14" s="8" t="s">
        <v>83</v>
      </c>
      <c r="L14" s="8" t="s">
        <v>92</v>
      </c>
      <c r="M14" s="8" t="s">
        <v>85</v>
      </c>
      <c r="N14" s="10" t="s">
        <v>75</v>
      </c>
      <c r="O14" s="8" t="s">
        <v>34</v>
      </c>
      <c r="P14" s="11" t="s">
        <v>93</v>
      </c>
      <c r="Q14" s="11" t="s">
        <v>162</v>
      </c>
      <c r="R14" s="11" t="s">
        <v>169</v>
      </c>
      <c r="S14" s="12">
        <v>0</v>
      </c>
      <c r="T14" s="13">
        <f>(29.26*4.33%)+29.26-0.01</f>
        <v>30.516957999999999</v>
      </c>
      <c r="U14" s="13">
        <f>(39.09*4.33%)+39.09-0.01</f>
        <v>40.772597000000005</v>
      </c>
      <c r="V14" s="13">
        <f>(31.29*4.33%)+31.29</f>
        <v>32.644857000000002</v>
      </c>
      <c r="W14" s="13">
        <f>(41.71*4.33%)+41.71-0.01</f>
        <v>43.506043000000005</v>
      </c>
      <c r="X14" s="13">
        <f>(31.51*4.33%)+31.51</f>
        <v>32.874383000000002</v>
      </c>
      <c r="Y14" s="13">
        <v>43.8</v>
      </c>
      <c r="Z14" s="13">
        <f>(27.397144*4.33%)+27.4-0.02</f>
        <v>28.566296335200001</v>
      </c>
      <c r="AA14" s="13">
        <f>(36.509052*4.33%)+36.51-0.02</f>
        <v>38.070841951599995</v>
      </c>
      <c r="AB14" s="19">
        <f>(31.73*4.33%)+31.73</f>
        <v>33.103909000000002</v>
      </c>
      <c r="AC14" s="19">
        <f>(42.267808*4.33%)+42.27</f>
        <v>44.100196086400004</v>
      </c>
      <c r="AD14" s="13">
        <f>(32.65*4.33%)+32.65</f>
        <v>34.063744999999997</v>
      </c>
      <c r="AE14" s="13">
        <f>(43.46*4.33%)+43.46-0.01</f>
        <v>45.331818000000005</v>
      </c>
      <c r="AF14" s="13">
        <v>28.41</v>
      </c>
      <c r="AG14" s="13">
        <v>39.28</v>
      </c>
    </row>
    <row r="15" spans="2:33" x14ac:dyDescent="0.25">
      <c r="B15" s="6" t="s">
        <v>94</v>
      </c>
      <c r="C15" s="7">
        <v>111300008</v>
      </c>
      <c r="D15" s="8" t="s">
        <v>95</v>
      </c>
      <c r="E15" s="9" t="s">
        <v>96</v>
      </c>
      <c r="F15" s="18" t="s">
        <v>46</v>
      </c>
      <c r="G15" s="18">
        <v>30</v>
      </c>
      <c r="H15" s="18" t="s">
        <v>47</v>
      </c>
      <c r="I15" s="8" t="s">
        <v>48</v>
      </c>
      <c r="J15" s="8" t="s">
        <v>97</v>
      </c>
      <c r="K15" s="8" t="s">
        <v>98</v>
      </c>
      <c r="L15" s="8" t="s">
        <v>99</v>
      </c>
      <c r="M15" s="8" t="s">
        <v>100</v>
      </c>
      <c r="N15" s="10" t="s">
        <v>75</v>
      </c>
      <c r="O15" s="8" t="s">
        <v>34</v>
      </c>
      <c r="P15" s="11" t="s">
        <v>101</v>
      </c>
      <c r="Q15" s="11" t="s">
        <v>162</v>
      </c>
      <c r="R15" s="11" t="s">
        <v>170</v>
      </c>
      <c r="S15" s="12">
        <v>0</v>
      </c>
      <c r="T15" s="13">
        <f>(26.91*4.33%)+26.91-0.01</f>
        <v>28.065203</v>
      </c>
      <c r="U15" s="13">
        <f>(35.95*4.33%)+35.95-0.01</f>
        <v>37.496635000000005</v>
      </c>
      <c r="V15" s="13">
        <f>(28.78*4.33%)+28.78-0.01</f>
        <v>30.016173999999999</v>
      </c>
      <c r="W15" s="13">
        <f>(38.36*4.33%)+38.36-0.01</f>
        <v>40.010988000000005</v>
      </c>
      <c r="X15" s="13">
        <f>(28.98*4.33%)+28.98</f>
        <v>30.234833999999999</v>
      </c>
      <c r="Y15" s="13">
        <v>40.29</v>
      </c>
      <c r="Z15" s="13">
        <f>(25.186084*4.33%)+25.19-0.02</f>
        <v>26.260557437200003</v>
      </c>
      <c r="AA15" s="13">
        <f>(33.567544*4.33%)+33.57-0.02</f>
        <v>35.003474655199994</v>
      </c>
      <c r="AB15" s="19">
        <f>(29.18*4.33%)+29.18</f>
        <v>30.443494000000001</v>
      </c>
      <c r="AC15" s="19">
        <f>(38.88*4.33%)+38.88</f>
        <v>40.563504000000002</v>
      </c>
      <c r="AD15" s="13">
        <f>(30.02*4.33%)+30.02</f>
        <v>31.319866000000001</v>
      </c>
      <c r="AE15" s="13">
        <f>(39.96*4.33%)+39.96</f>
        <v>41.690268000000003</v>
      </c>
      <c r="AF15" s="13">
        <v>26.13</v>
      </c>
      <c r="AG15" s="13">
        <v>36.119999999999997</v>
      </c>
    </row>
    <row r="16" spans="2:33" x14ac:dyDescent="0.25">
      <c r="B16" s="6" t="s">
        <v>102</v>
      </c>
      <c r="C16" s="7">
        <v>111300009</v>
      </c>
      <c r="D16" s="8" t="s">
        <v>103</v>
      </c>
      <c r="E16" s="9" t="s">
        <v>96</v>
      </c>
      <c r="F16" s="18" t="s">
        <v>50</v>
      </c>
      <c r="G16" s="18">
        <v>12</v>
      </c>
      <c r="H16" s="18" t="s">
        <v>104</v>
      </c>
      <c r="I16" s="8" t="s">
        <v>57</v>
      </c>
      <c r="J16" s="8" t="s">
        <v>105</v>
      </c>
      <c r="K16" s="8" t="s">
        <v>98</v>
      </c>
      <c r="L16" s="8" t="s">
        <v>106</v>
      </c>
      <c r="M16" s="8" t="s">
        <v>100</v>
      </c>
      <c r="N16" s="10" t="s">
        <v>75</v>
      </c>
      <c r="O16" s="8" t="s">
        <v>34</v>
      </c>
      <c r="P16" s="11" t="s">
        <v>107</v>
      </c>
      <c r="Q16" s="11" t="s">
        <v>162</v>
      </c>
      <c r="R16" s="11" t="s">
        <v>171</v>
      </c>
      <c r="S16" s="12">
        <v>0</v>
      </c>
      <c r="T16" s="13">
        <f>(116.39*4.33%)+116.39-0.01</f>
        <v>121.419687</v>
      </c>
      <c r="U16" s="13">
        <f>(155.453512*4.33%)+155.45+0.01</f>
        <v>162.19113706959999</v>
      </c>
      <c r="V16" s="13">
        <f>(124.46*4.33%)+124.46-0.01</f>
        <v>129.83911800000001</v>
      </c>
      <c r="W16" s="13">
        <f>(165.9*4.33%)+165.9-0.01</f>
        <v>173.07347000000001</v>
      </c>
      <c r="X16" s="13">
        <f>(125.33*4.33%)+125.33-0.01</f>
        <v>130.74678900000001</v>
      </c>
      <c r="Y16" s="13">
        <v>174.24</v>
      </c>
      <c r="Z16" s="13">
        <f>(108.9904*4.33%)+108.99-0.02</f>
        <v>113.68928432</v>
      </c>
      <c r="AA16" s="13">
        <f>(145.2415*4.33%)+145.24-0.02</f>
        <v>151.50895695</v>
      </c>
      <c r="AB16" s="19">
        <f>(126.21*4.33%)+126.21</f>
        <v>131.674893</v>
      </c>
      <c r="AC16" s="19">
        <f>(168.15*4.33%)+168.15</f>
        <v>175.43089499999999</v>
      </c>
      <c r="AD16" s="13">
        <f>(129.856636*4.33%)+129.86</f>
        <v>135.48279233880001</v>
      </c>
      <c r="AE16" s="13">
        <f>(172.85*4.33%)+172.85</f>
        <v>180.334405</v>
      </c>
      <c r="AF16" s="13">
        <v>113.03</v>
      </c>
      <c r="AG16" s="13">
        <v>156.26</v>
      </c>
    </row>
    <row r="17" spans="2:33" x14ac:dyDescent="0.25">
      <c r="B17" s="6" t="s">
        <v>108</v>
      </c>
      <c r="C17" s="7">
        <v>111300010</v>
      </c>
      <c r="D17" s="8" t="s">
        <v>109</v>
      </c>
      <c r="E17" s="9" t="s">
        <v>96</v>
      </c>
      <c r="F17" s="18" t="s">
        <v>110</v>
      </c>
      <c r="G17" s="18">
        <v>24</v>
      </c>
      <c r="H17" s="18" t="s">
        <v>111</v>
      </c>
      <c r="I17" s="8" t="s">
        <v>90</v>
      </c>
      <c r="J17" s="8" t="s">
        <v>112</v>
      </c>
      <c r="K17" s="8" t="s">
        <v>98</v>
      </c>
      <c r="L17" s="8" t="s">
        <v>113</v>
      </c>
      <c r="M17" s="8" t="s">
        <v>100</v>
      </c>
      <c r="N17" s="10" t="s">
        <v>75</v>
      </c>
      <c r="O17" s="8" t="s">
        <v>34</v>
      </c>
      <c r="P17" s="11" t="s">
        <v>114</v>
      </c>
      <c r="Q17" s="11" t="s">
        <v>162</v>
      </c>
      <c r="R17" s="11" t="s">
        <v>172</v>
      </c>
      <c r="S17" s="12">
        <v>0</v>
      </c>
      <c r="T17" s="13">
        <f>(41.5*4.33%)+41.5-0.01</f>
        <v>43.286950000000004</v>
      </c>
      <c r="U17" s="13">
        <f>(55.41076*4.33%)+55.41+0.02</f>
        <v>57.829285908000003</v>
      </c>
      <c r="V17" s="13">
        <f>(44.38*4.33%)+44.38-0.01</f>
        <v>46.291654000000001</v>
      </c>
      <c r="W17" s="13">
        <f>(59.133568*4.33%)+59.13+0.01</f>
        <v>61.700483494399997</v>
      </c>
      <c r="X17" s="13">
        <f>(44.69*4.33%)+44.69-0.02</f>
        <v>46.605076999999994</v>
      </c>
      <c r="Y17" s="13">
        <v>62.11</v>
      </c>
      <c r="Z17" s="13">
        <f>(38.85352*4.33%)+38.85-0.02</f>
        <v>40.512357416</v>
      </c>
      <c r="AA17" s="13">
        <f>(51.770508*4.33%)+51.77-0.02</f>
        <v>53.991662996400002</v>
      </c>
      <c r="AB17" s="19">
        <f>(45*4.33%)+45-0.01</f>
        <v>46.938500000000005</v>
      </c>
      <c r="AC17" s="19">
        <f>(59.93572*4.33%)+59.94</f>
        <v>62.535216675999997</v>
      </c>
      <c r="AD17" s="13">
        <f>(46.3*4.33%)+46.3</f>
        <v>48.304789999999997</v>
      </c>
      <c r="AE17" s="13">
        <f>(61.602012*4.33%)+61.6+0.02</f>
        <v>64.287367119599992</v>
      </c>
      <c r="AF17" s="13">
        <v>40.299999999999997</v>
      </c>
      <c r="AG17" s="13">
        <v>55.71</v>
      </c>
    </row>
    <row r="18" spans="2:33" x14ac:dyDescent="0.25">
      <c r="B18" s="6" t="s">
        <v>151</v>
      </c>
      <c r="C18" s="7">
        <v>111300452</v>
      </c>
      <c r="D18" s="8" t="s">
        <v>152</v>
      </c>
      <c r="E18" s="9" t="s">
        <v>96</v>
      </c>
      <c r="F18" s="18" t="s">
        <v>110</v>
      </c>
      <c r="G18" s="18">
        <v>24</v>
      </c>
      <c r="H18" s="18" t="s">
        <v>154</v>
      </c>
      <c r="I18" s="8" t="s">
        <v>155</v>
      </c>
      <c r="J18" s="8" t="s">
        <v>156</v>
      </c>
      <c r="K18" s="8" t="s">
        <v>98</v>
      </c>
      <c r="L18" s="8" t="s">
        <v>153</v>
      </c>
      <c r="M18" s="8" t="s">
        <v>100</v>
      </c>
      <c r="N18" s="10" t="s">
        <v>75</v>
      </c>
      <c r="O18" s="8" t="s">
        <v>34</v>
      </c>
      <c r="P18" s="11">
        <v>7897129301223</v>
      </c>
      <c r="Q18" s="11" t="s">
        <v>162</v>
      </c>
      <c r="R18" s="11" t="s">
        <v>173</v>
      </c>
      <c r="S18" s="12">
        <v>0</v>
      </c>
      <c r="T18" s="13">
        <f>(44.94*4.33%)+44.94</f>
        <v>46.885901999999994</v>
      </c>
      <c r="U18" s="13">
        <f>(60.03*4.33%)+60.03</f>
        <v>62.629299000000003</v>
      </c>
      <c r="V18" s="13">
        <f>(48.06*4.33%)+48.06</f>
        <v>50.140998000000003</v>
      </c>
      <c r="W18" s="13">
        <f>(64.06*4.33%)+64.06</f>
        <v>66.833798000000002</v>
      </c>
      <c r="X18" s="13">
        <f>(48.39*4.33%)+48.39</f>
        <v>50.485287</v>
      </c>
      <c r="Y18" s="13">
        <f>(64.46*4.33%)+64.46</f>
        <v>67.251117999999991</v>
      </c>
      <c r="Z18" s="13">
        <f>(42.09*4.33%)+42.09</f>
        <v>43.912497000000002</v>
      </c>
      <c r="AA18" s="13">
        <f>(56.09*4.33%)+56.09</f>
        <v>58.518697000000003</v>
      </c>
      <c r="AB18" s="19">
        <f>(48.74*4.33%)+48.74</f>
        <v>50.850442000000001</v>
      </c>
      <c r="AC18" s="19">
        <f>(64.9*4.33%)+64.9</f>
        <v>67.710170000000005</v>
      </c>
      <c r="AD18" s="13">
        <f>(50.14*4.33%)+50.14</f>
        <v>52.311062</v>
      </c>
      <c r="AE18" s="13">
        <f>(66.74*4.33%)+66.74</f>
        <v>69.629841999999996</v>
      </c>
      <c r="AF18" s="13">
        <f>(41.84*4.33%)+41.84</f>
        <v>43.651672000000005</v>
      </c>
      <c r="AG18" s="13">
        <f>(57.81*4.33%)+57.81</f>
        <v>60.313172999999999</v>
      </c>
    </row>
    <row r="19" spans="2:33" x14ac:dyDescent="0.25">
      <c r="B19" s="6" t="s">
        <v>115</v>
      </c>
      <c r="C19" s="7">
        <v>111300014</v>
      </c>
      <c r="D19" s="8" t="s">
        <v>116</v>
      </c>
      <c r="E19" s="9" t="s">
        <v>117</v>
      </c>
      <c r="F19" s="18" t="s">
        <v>118</v>
      </c>
      <c r="G19" s="18">
        <v>24</v>
      </c>
      <c r="H19" s="18" t="s">
        <v>119</v>
      </c>
      <c r="I19" s="8" t="s">
        <v>40</v>
      </c>
      <c r="J19" s="8" t="s">
        <v>120</v>
      </c>
      <c r="K19" s="8" t="s">
        <v>98</v>
      </c>
      <c r="L19" s="8" t="s">
        <v>121</v>
      </c>
      <c r="M19" s="8" t="s">
        <v>122</v>
      </c>
      <c r="N19" s="10" t="s">
        <v>75</v>
      </c>
      <c r="O19" s="8" t="s">
        <v>123</v>
      </c>
      <c r="P19" s="11" t="s">
        <v>124</v>
      </c>
      <c r="Q19" s="11" t="s">
        <v>163</v>
      </c>
      <c r="R19" s="11" t="s">
        <v>174</v>
      </c>
      <c r="S19" s="12">
        <v>0</v>
      </c>
      <c r="T19" s="13">
        <f>(19.48*4.33%)+19.48</f>
        <v>20.323484000000001</v>
      </c>
      <c r="U19" s="13">
        <f>(26.93*4.33%)+26.93-0.01</f>
        <v>28.086068999999998</v>
      </c>
      <c r="V19" s="13">
        <f>(20.66*4.33%)+20.66</f>
        <v>21.554577999999999</v>
      </c>
      <c r="W19" s="13">
        <f>(28.56*4.33%)+28.56-0.01</f>
        <v>29.786647999999996</v>
      </c>
      <c r="X19" s="13">
        <f>(20.78*4.33%)+20.78</f>
        <v>21.679774000000002</v>
      </c>
      <c r="Y19" s="13">
        <v>29.97</v>
      </c>
      <c r="Z19" s="13">
        <f>(20.774532*4.33%)+20.77-0.02</f>
        <v>21.6495372356</v>
      </c>
      <c r="AA19" s="13">
        <f>(28.714064*4.33%)+28.71-0.02</f>
        <v>29.933318971200002</v>
      </c>
      <c r="AB19" s="19">
        <f>(20.91*4.33%)+20.91-0.01</f>
        <v>21.805402999999998</v>
      </c>
      <c r="AC19" s="19">
        <f>(28.91*4.33%)+28.91-0.01</f>
        <v>30.151802999999997</v>
      </c>
      <c r="AD19" s="13">
        <f>(21.432424*4.33%)+21.43</f>
        <v>22.358023959200001</v>
      </c>
      <c r="AE19" s="13">
        <f>(29.63*4.33%)+29.63</f>
        <v>30.912979</v>
      </c>
      <c r="AF19" s="13">
        <v>21.55</v>
      </c>
      <c r="AG19" s="13">
        <v>29.79</v>
      </c>
    </row>
    <row r="20" spans="2:33" x14ac:dyDescent="0.25">
      <c r="B20" s="6" t="s">
        <v>125</v>
      </c>
      <c r="C20" s="7">
        <v>111300160</v>
      </c>
      <c r="D20" s="8" t="s">
        <v>53</v>
      </c>
      <c r="E20" s="9" t="s">
        <v>126</v>
      </c>
      <c r="F20" s="18" t="s">
        <v>54</v>
      </c>
      <c r="G20" s="18">
        <v>30</v>
      </c>
      <c r="H20" s="18" t="s">
        <v>127</v>
      </c>
      <c r="I20" s="8" t="s">
        <v>128</v>
      </c>
      <c r="J20" s="8" t="s">
        <v>129</v>
      </c>
      <c r="K20" s="8" t="s">
        <v>130</v>
      </c>
      <c r="L20" s="8" t="s">
        <v>131</v>
      </c>
      <c r="M20" s="8" t="s">
        <v>55</v>
      </c>
      <c r="N20" s="10" t="s">
        <v>75</v>
      </c>
      <c r="O20" s="8" t="s">
        <v>34</v>
      </c>
      <c r="P20" s="11" t="s">
        <v>132</v>
      </c>
      <c r="Q20" s="11" t="s">
        <v>164</v>
      </c>
      <c r="R20" s="11" t="s">
        <v>175</v>
      </c>
      <c r="S20" s="12">
        <v>0</v>
      </c>
      <c r="T20" s="13">
        <f>(55.47*4.33%)+55.47</f>
        <v>57.871850999999999</v>
      </c>
      <c r="U20" s="13">
        <f>(74.1*4.33%)+74.1-0.01</f>
        <v>77.298529999999985</v>
      </c>
      <c r="V20" s="13">
        <f>(59.32*4.33%)+59.32-0.01</f>
        <v>61.878556000000003</v>
      </c>
      <c r="W20" s="13">
        <f>(79.07*4.33%)+79.07-0.01</f>
        <v>82.483730999999992</v>
      </c>
      <c r="X20" s="13">
        <f>(59.73*4.33%)+59.73-0.01</f>
        <v>62.306308999999999</v>
      </c>
      <c r="Y20" s="13">
        <v>83.04</v>
      </c>
      <c r="Z20" s="13">
        <f>(51.93229*4.33%)+51.93-0.02</f>
        <v>54.158668156999994</v>
      </c>
      <c r="AA20" s="13">
        <f>(69.198979*4.33%)+69.2-0.02</f>
        <v>72.176315790700002</v>
      </c>
      <c r="AB20" s="19">
        <f>(60.15*4.33%)+60.15</f>
        <v>62.754494999999999</v>
      </c>
      <c r="AC20" s="19">
        <f>(80.14*4.33%)+80.14-0.01</f>
        <v>83.600061999999994</v>
      </c>
      <c r="AD20" s="13">
        <f>(61.89*4.33%)+61.89</f>
        <v>64.569837000000007</v>
      </c>
      <c r="AE20" s="13">
        <f>(82.38*4.33%)+82.38-0.01</f>
        <v>85.937053999999989</v>
      </c>
      <c r="AF20" s="13">
        <v>53.87</v>
      </c>
      <c r="AG20" s="13">
        <v>74.47</v>
      </c>
    </row>
    <row r="21" spans="2:33" x14ac:dyDescent="0.25">
      <c r="B21" s="6" t="s">
        <v>133</v>
      </c>
      <c r="C21" s="7">
        <v>111300017</v>
      </c>
      <c r="D21" s="8" t="s">
        <v>53</v>
      </c>
      <c r="E21" s="9" t="s">
        <v>134</v>
      </c>
      <c r="F21" s="18" t="s">
        <v>46</v>
      </c>
      <c r="G21" s="18">
        <v>30</v>
      </c>
      <c r="H21" s="18" t="s">
        <v>47</v>
      </c>
      <c r="I21" s="8" t="s">
        <v>48</v>
      </c>
      <c r="J21" s="8" t="s">
        <v>135</v>
      </c>
      <c r="K21" s="8" t="s">
        <v>130</v>
      </c>
      <c r="L21" s="8" t="s">
        <v>136</v>
      </c>
      <c r="M21" s="8" t="s">
        <v>52</v>
      </c>
      <c r="N21" s="10" t="s">
        <v>75</v>
      </c>
      <c r="O21" s="8" t="s">
        <v>123</v>
      </c>
      <c r="P21" s="11" t="s">
        <v>137</v>
      </c>
      <c r="Q21" s="11" t="s">
        <v>163</v>
      </c>
      <c r="R21" s="11" t="s">
        <v>176</v>
      </c>
      <c r="S21" s="12">
        <v>0</v>
      </c>
      <c r="T21" s="13">
        <f>(29.64*4.33%)+29.64</f>
        <v>30.923411999999999</v>
      </c>
      <c r="U21" s="13">
        <f>(40.98*4.33%)+40.98</f>
        <v>42.754433999999996</v>
      </c>
      <c r="V21" s="13">
        <f>(31.43*4.33%)+31.43-0.01</f>
        <v>32.780919000000004</v>
      </c>
      <c r="W21" s="13">
        <f>(43.45*4.33%)+43.45-0.01</f>
        <v>45.321385000000006</v>
      </c>
      <c r="X21" s="13">
        <f>(31.62*4.33%)+31.62-0.01</f>
        <v>32.979146</v>
      </c>
      <c r="Y21" s="13">
        <v>45.59</v>
      </c>
      <c r="Z21" s="13">
        <f>(31.591995*4.33%)+31.59-0.02</f>
        <v>32.937933383499995</v>
      </c>
      <c r="AA21" s="13">
        <f>(43.673455*4.33%)+43.67-0.02</f>
        <v>45.5410606015</v>
      </c>
      <c r="AB21" s="19">
        <f>(31.81*4.33%)+31.81-0.01</f>
        <v>33.177373000000003</v>
      </c>
      <c r="AC21" s="19">
        <f>(43.98*4.33%)+43.98-0.01</f>
        <v>45.874333999999998</v>
      </c>
      <c r="AD21" s="13">
        <f>(32.61*4.33%)+32.61-0.01</f>
        <v>34.012013000000003</v>
      </c>
      <c r="AE21" s="13">
        <f>(45.08*4.33%)+45.08-0.01</f>
        <v>47.021963999999997</v>
      </c>
      <c r="AF21" s="13">
        <v>32.78</v>
      </c>
      <c r="AG21" s="13">
        <v>45.32</v>
      </c>
    </row>
    <row r="22" spans="2:33" ht="16.5" customHeight="1" x14ac:dyDescent="0.25">
      <c r="B22" s="6" t="s">
        <v>138</v>
      </c>
      <c r="C22" s="7">
        <v>111300018</v>
      </c>
      <c r="D22" s="8" t="s">
        <v>53</v>
      </c>
      <c r="E22" s="9" t="s">
        <v>134</v>
      </c>
      <c r="F22" s="18" t="s">
        <v>46</v>
      </c>
      <c r="G22" s="18">
        <v>30</v>
      </c>
      <c r="H22" s="18" t="s">
        <v>47</v>
      </c>
      <c r="I22" s="8" t="s">
        <v>48</v>
      </c>
      <c r="J22" s="8" t="s">
        <v>135</v>
      </c>
      <c r="K22" s="8" t="s">
        <v>130</v>
      </c>
      <c r="L22" s="8" t="s">
        <v>139</v>
      </c>
      <c r="M22" s="8" t="s">
        <v>52</v>
      </c>
      <c r="N22" s="10" t="s">
        <v>75</v>
      </c>
      <c r="O22" s="8" t="s">
        <v>123</v>
      </c>
      <c r="P22" s="11" t="s">
        <v>140</v>
      </c>
      <c r="Q22" s="11" t="s">
        <v>163</v>
      </c>
      <c r="R22" s="11" t="s">
        <v>177</v>
      </c>
      <c r="S22" s="12">
        <v>0</v>
      </c>
      <c r="T22" s="13">
        <f>(20.74*4.33%)+20.74</f>
        <v>21.638041999999999</v>
      </c>
      <c r="U22" s="13">
        <f>(28.67*4.33%)+28.67+0.01</f>
        <v>29.921411000000003</v>
      </c>
      <c r="V22" s="13">
        <f>(21.99*4.33%)+21.99</f>
        <v>22.942166999999998</v>
      </c>
      <c r="W22" s="13">
        <v>31.71</v>
      </c>
      <c r="X22" s="13">
        <f>(22.12*4.33%)+22.12</f>
        <v>23.077795999999999</v>
      </c>
      <c r="Y22" s="13">
        <v>31.91</v>
      </c>
      <c r="Z22" s="13">
        <f>(22.11352*4.33%)+22.11-0.02</f>
        <v>23.047515416</v>
      </c>
      <c r="AA22" s="13">
        <f>(30.567542*4.33%)+30.57-0.02</f>
        <v>31.873574568600002</v>
      </c>
      <c r="AB22" s="19">
        <f>(22.256731*4.33%)+22.26</f>
        <v>23.223716452300003</v>
      </c>
      <c r="AC22" s="19">
        <f>(30.77*4.33%)+30.77</f>
        <v>32.102341000000003</v>
      </c>
      <c r="AD22" s="13">
        <f>(22.810316*4.33%)+22.81</f>
        <v>23.797686682799998</v>
      </c>
      <c r="AE22" s="13">
        <f>(31.53*4.33%)+31.53</f>
        <v>32.895249</v>
      </c>
      <c r="AF22" s="13">
        <v>22.94</v>
      </c>
      <c r="AG22" s="13">
        <v>31.71</v>
      </c>
    </row>
    <row r="23" spans="2:33" x14ac:dyDescent="0.25">
      <c r="B23" s="6" t="s">
        <v>141</v>
      </c>
      <c r="C23" s="7">
        <v>111300019</v>
      </c>
      <c r="D23" s="8" t="s">
        <v>142</v>
      </c>
      <c r="E23" s="9" t="s">
        <v>134</v>
      </c>
      <c r="F23" s="18" t="s">
        <v>46</v>
      </c>
      <c r="G23" s="18">
        <v>30</v>
      </c>
      <c r="H23" s="18" t="s">
        <v>47</v>
      </c>
      <c r="I23" s="8" t="s">
        <v>48</v>
      </c>
      <c r="J23" s="8" t="s">
        <v>143</v>
      </c>
      <c r="K23" s="8" t="s">
        <v>130</v>
      </c>
      <c r="L23" s="8" t="s">
        <v>144</v>
      </c>
      <c r="M23" s="8" t="s">
        <v>52</v>
      </c>
      <c r="N23" s="10" t="s">
        <v>75</v>
      </c>
      <c r="O23" s="8" t="s">
        <v>34</v>
      </c>
      <c r="P23" s="11" t="s">
        <v>145</v>
      </c>
      <c r="Q23" s="11" t="s">
        <v>162</v>
      </c>
      <c r="R23" s="11" t="s">
        <v>178</v>
      </c>
      <c r="S23" s="12">
        <v>0</v>
      </c>
      <c r="T23" s="13">
        <f>(70.32*4.33%)+70.32</f>
        <v>73.364855999999989</v>
      </c>
      <c r="U23" s="13">
        <f>(93.93*4.33%)+93.93-0.01</f>
        <v>97.987169000000009</v>
      </c>
      <c r="V23" s="13">
        <f>(75.19*4.33%)+75.19</f>
        <v>78.445726999999991</v>
      </c>
      <c r="W23" s="13">
        <f>(100.216154*4.33%)+100.22+0.01</f>
        <v>104.56935946820001</v>
      </c>
      <c r="X23" s="13">
        <f>(75.72*4.33%)+75.72-0.01</f>
        <v>78.988675999999998</v>
      </c>
      <c r="Y23" s="13">
        <v>105.26</v>
      </c>
      <c r="Z23" s="13">
        <f>(65.837469*4.33%)+65.84-0.02</f>
        <v>68.67076240770001</v>
      </c>
      <c r="AA23" s="13">
        <f>(87.735555*4.33%)+87.74-0.02</f>
        <v>91.518949531499999</v>
      </c>
      <c r="AB23" s="19">
        <f>(76.25*4.33%)+76.25</f>
        <v>79.551625000000001</v>
      </c>
      <c r="AC23" s="19">
        <f>(101.59*4.33%)+101.59</f>
        <v>105.98884700000001</v>
      </c>
      <c r="AD23" s="13">
        <f>(78.46*4.33%)+78.46-0.01</f>
        <v>81.847317999999987</v>
      </c>
      <c r="AE23" s="13">
        <f>(104.43*4.33%)+104.43</f>
        <v>108.951819</v>
      </c>
      <c r="AF23" s="13">
        <v>68.290000000000006</v>
      </c>
      <c r="AG23" s="13">
        <v>94.41</v>
      </c>
    </row>
    <row r="24" spans="2:33" x14ac:dyDescent="0.25">
      <c r="B24" s="6" t="s">
        <v>146</v>
      </c>
      <c r="C24" s="7">
        <v>111300125</v>
      </c>
      <c r="D24" s="8" t="s">
        <v>53</v>
      </c>
      <c r="E24" s="9" t="s">
        <v>134</v>
      </c>
      <c r="F24" s="18" t="s">
        <v>46</v>
      </c>
      <c r="G24" s="18">
        <v>30</v>
      </c>
      <c r="H24" s="18" t="s">
        <v>47</v>
      </c>
      <c r="I24" s="8" t="s">
        <v>48</v>
      </c>
      <c r="J24" s="8" t="s">
        <v>147</v>
      </c>
      <c r="K24" s="8" t="s">
        <v>130</v>
      </c>
      <c r="L24" s="8" t="s">
        <v>148</v>
      </c>
      <c r="M24" s="8" t="s">
        <v>52</v>
      </c>
      <c r="N24" s="10" t="s">
        <v>75</v>
      </c>
      <c r="O24" s="8" t="s">
        <v>123</v>
      </c>
      <c r="P24" s="11" t="s">
        <v>149</v>
      </c>
      <c r="Q24" s="11" t="s">
        <v>163</v>
      </c>
      <c r="R24" s="11" t="s">
        <v>179</v>
      </c>
      <c r="S24" s="12">
        <v>0</v>
      </c>
      <c r="T24" s="13">
        <f>(36.888708*4.33%)+36.89</f>
        <v>38.487281056400001</v>
      </c>
      <c r="U24" s="13">
        <f>(50.814873*4.33%)+50.81</f>
        <v>53.0102840009</v>
      </c>
      <c r="V24" s="13">
        <f>(38.969341*4.33%)+38.97</f>
        <v>40.6573724653</v>
      </c>
      <c r="W24" s="13">
        <f>(53.878726*4.33%)+53.88</f>
        <v>56.212948835800006</v>
      </c>
      <c r="X24" s="13">
        <f>(39.205022*4.33%)+39.21</f>
        <v>40.907577452600002</v>
      </c>
      <c r="Y24" s="13">
        <f>(54.186136*4.33%)+54.19</f>
        <v>56.536259688800001</v>
      </c>
      <c r="Z24" s="13">
        <f>(39.205022*4.33%)+39.21</f>
        <v>40.907577452600002</v>
      </c>
      <c r="AA24" s="13">
        <f>(54.186136*4.33%)+54.19</f>
        <v>56.536259688800001</v>
      </c>
      <c r="AB24" s="19">
        <f>(39.45095*4.33%)+39.45</f>
        <v>41.158226135</v>
      </c>
      <c r="AC24" s="19">
        <f>(54.51404*4.33%)+54.51</f>
        <v>56.870457932000001</v>
      </c>
      <c r="AD24" s="13">
        <f>(40.434662*4.33%)+40.44</f>
        <v>42.190820864599999</v>
      </c>
      <c r="AE24" s="13">
        <f>(55.876891*4.33%)+55.88</f>
        <v>58.299469380300003</v>
      </c>
      <c r="AF24" s="13">
        <f>(38.969341*4.33%)+38.97</f>
        <v>40.6573724653</v>
      </c>
      <c r="AG24" s="13">
        <f>(53.878726*4.33%)+53.88</f>
        <v>56.212948835800006</v>
      </c>
    </row>
    <row r="26" spans="2:33" ht="15" customHeight="1" x14ac:dyDescent="0.25">
      <c r="B26" s="20">
        <v>4.3299999999999998E-2</v>
      </c>
    </row>
  </sheetData>
  <autoFilter ref="A9:AG24" xr:uid="{00000000-0009-0000-0000-000000000000}">
    <sortState ref="A9:AG36">
      <sortCondition ref="C8:C49"/>
    </sortState>
  </autoFilter>
  <mergeCells count="22">
    <mergeCell ref="V6:W6"/>
    <mergeCell ref="AB6:AC6"/>
    <mergeCell ref="AB1:AC1"/>
    <mergeCell ref="AB3:AC3"/>
    <mergeCell ref="AB4:AC4"/>
    <mergeCell ref="V5:W5"/>
    <mergeCell ref="AB5:AC5"/>
    <mergeCell ref="AB2:AC2"/>
    <mergeCell ref="AD7:AE7"/>
    <mergeCell ref="AF7:AG7"/>
    <mergeCell ref="T8:U8"/>
    <mergeCell ref="V8:W8"/>
    <mergeCell ref="X8:Y8"/>
    <mergeCell ref="Z8:AA8"/>
    <mergeCell ref="AB8:AC8"/>
    <mergeCell ref="AD8:AE8"/>
    <mergeCell ref="AF8:AG8"/>
    <mergeCell ref="T7:U7"/>
    <mergeCell ref="V7:W7"/>
    <mergeCell ref="X7:Y7"/>
    <mergeCell ref="Z7:AA7"/>
    <mergeCell ref="AB7:AC7"/>
  </mergeCells>
  <pageMargins left="0.25" right="0.25" top="0.75" bottom="0.75" header="0.3" footer="0.3"/>
  <pageSetup paperSize="9" scale="26" orientation="landscape" r:id="rId1"/>
  <ignoredErrors>
    <ignoredError sqref="P10 P19:P24 P15:P17 P11:P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PREÇOS ABR de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Viviani Carvalho Gaspari</dc:creator>
  <cp:lastModifiedBy>Bomfim Gleudemir Camilo</cp:lastModifiedBy>
  <cp:lastPrinted>2019-03-25T14:38:44Z</cp:lastPrinted>
  <dcterms:created xsi:type="dcterms:W3CDTF">2018-03-28T18:15:27Z</dcterms:created>
  <dcterms:modified xsi:type="dcterms:W3CDTF">2019-03-29T21:27:52Z</dcterms:modified>
</cp:coreProperties>
</file>